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405"/>
  <workbookPr codeName="ThisWorkbook" autoCompressPictures="0"/>
  <bookViews>
    <workbookView xWindow="0" yWindow="0" windowWidth="35620" windowHeight="19440" firstSheet="4" activeTab="4"/>
  </bookViews>
  <sheets>
    <sheet name="Cover" sheetId="24" r:id="rId1"/>
    <sheet name="Basis of Estimate" sheetId="25" r:id="rId2"/>
    <sheet name="Estimate Classification" sheetId="28" r:id="rId3"/>
    <sheet name="Summary" sheetId="35" r:id="rId4"/>
    <sheet name="Cost Matrix Tool" sheetId="20" r:id="rId5"/>
    <sheet name="Design Assumptions &lt;150' Height" sheetId="3" r:id="rId6"/>
    <sheet name="Supermarket" sheetId="6" r:id="rId7"/>
    <sheet name="PharmacyL" sheetId="7" r:id="rId8"/>
    <sheet name="PharmacyS" sheetId="8" r:id="rId9"/>
    <sheet name="HealthCare" sheetId="9" r:id="rId10"/>
    <sheet name="Restaurant" sheetId="10" r:id="rId11"/>
    <sheet name="GenRetL" sheetId="11" r:id="rId12"/>
    <sheet name="GenRetS" sheetId="12" r:id="rId13"/>
    <sheet name="Laundr" sheetId="13" r:id="rId14"/>
    <sheet name="Line items" sheetId="29" r:id="rId15"/>
    <sheet name="Electrical" sheetId="4" r:id="rId16"/>
    <sheet name="Plumbing" sheetId="5" r:id="rId17"/>
    <sheet name="Sheet2" sheetId="2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AtRisk_SimSetting_AutomaticallyGenerateReports" hidden="1">FALSE</definedName>
    <definedName name="_AtRisk_SimSetting_AutomaticResultsDisplayMode" localSheetId="2" hidden="1">0</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DemoMode" hidden="1">FALSE</definedName>
    <definedName name="_AtRisk_SimSetting_LiveUpdate" hidden="1">TRUE</definedName>
    <definedName name="_AtRisk_SimSetting_LiveUpdatePeriod" hidden="1">-1</definedName>
    <definedName name="_AtRisk_SimSetting_RandomNumberGenerator" localSheetId="2" hidden="1">0</definedName>
    <definedName name="_AtRisk_SimSetting_RandomNumberGenerator" hidden="1">0</definedName>
    <definedName name="_AtRisk_SimSetting_ReportsList" localSheetId="2"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PT1">#REF!</definedName>
    <definedName name="a">'[1]LOWER BOUND'!$K$8</definedName>
    <definedName name="AllData">'[2]Co2 Base Data'!$C$1:$I$65536</definedName>
    <definedName name="AllItems">'[2]Level 3'!$G$1:$G$65536</definedName>
    <definedName name="Annual_Budget_Inc">[3]OPEX!#REF!</definedName>
    <definedName name="Answer">#REF!</definedName>
    <definedName name="APMBridge">#REF!</definedName>
    <definedName name="area">#REF!</definedName>
    <definedName name="area_sheet">#REF!</definedName>
    <definedName name="b">'[1]LOWER BOUND'!#REF!</definedName>
    <definedName name="BAS">#REF!</definedName>
    <definedName name="BASE">#REF!</definedName>
    <definedName name="Base_Date_of_Estimate">[4]Adjustments!$D$5</definedName>
    <definedName name="BaseDate">[5]NameTable!$C$11</definedName>
    <definedName name="BASEE">#REF!</definedName>
    <definedName name="Basjkasa" hidden="1">2</definedName>
    <definedName name="BBBBB">#REF!</definedName>
    <definedName name="BBBBBBBBBBBB">#REF!</definedName>
    <definedName name="Beams">#REF!</definedName>
    <definedName name="BeamTypes">'[6]C_res Types'!$B$7:$B$9</definedName>
    <definedName name="Budget_Base_Date">[3]OPEX!#REF!</definedName>
    <definedName name="Budget_End_Date">[3]OPEX!#REF!</definedName>
    <definedName name="Budget_Inc">[3]OPEX!#REF!</definedName>
    <definedName name="building">#REF!</definedName>
    <definedName name="BWICTotal">#REF!</definedName>
    <definedName name="CAlloc">Sheet2!$C$3:$C$7</definedName>
    <definedName name="Capex_index1">[3]OPEX!#REF!</definedName>
    <definedName name="Capex_index2">[3]OPEX!#REF!</definedName>
    <definedName name="Capex_Step_up">[3]OPEX!#REF!</definedName>
    <definedName name="Checked">[7]Cover!$F$11</definedName>
    <definedName name="Cl_hrs">OFFSET('[8]Cooling Summary'!$AJ$4,0,0,'[8]Cooling Summary'!$AI$293,1)</definedName>
    <definedName name="Cl_kWh">OFFSET('[8]Cooling Summary'!$AI$4,0,0,'[8]Cooling Summary'!$AI$293,1)</definedName>
    <definedName name="ClgFinTotal">#REF!</definedName>
    <definedName name="Client">[9]Cover!$J$2</definedName>
    <definedName name="ClientName">[5]NameTable!$C$10</definedName>
    <definedName name="CommsTotal">#REF!</definedName>
    <definedName name="ContTotal">#REF!</definedName>
    <definedName name="CostData">#REF!</definedName>
    <definedName name="CPI">[3]OPEX!#REF!</definedName>
    <definedName name="cs">#REF!</definedName>
    <definedName name="CSBTypes">'[6]C_res Types'!$N$7:$N$10</definedName>
    <definedName name="Cutting">[10]Cutting!$J$21</definedName>
    <definedName name="cw">#REF!</definedName>
    <definedName name="Data">'[2]Level 3'!$G$1:$W$65536</definedName>
    <definedName name="Date">[11]Cover!$F$13</definedName>
    <definedName name="Days_Year">[3]OPEX!#REF!</definedName>
    <definedName name="db">#REF!</definedName>
    <definedName name="dddd">#REF!</definedName>
    <definedName name="DesignBuildBond">#REF!</definedName>
    <definedName name="Dev_Costs">[3]OPEX!#REF!</definedName>
    <definedName name="Discount_Base_Date">[3]OPEX!#REF!</definedName>
    <definedName name="Discount_Factor_Nom">[3]OPEX!#REF!</definedName>
    <definedName name="DocName">[5]NameTable!$C$6</definedName>
    <definedName name="DocRef">[5]NameTable!$C$7</definedName>
    <definedName name="DrainTotal">#REF!</definedName>
    <definedName name="Drawing_Reference">[7]Cover!$F$21</definedName>
    <definedName name="Earthworks">[10]Earthworks!$D$5:$E$6</definedName>
    <definedName name="EarthworksType">[10]Earthworks!$D$11:$D$12</definedName>
    <definedName name="eee">#REF!</definedName>
    <definedName name="El_hrs">OFFSET('[8]Electric Summary'!$AJ$4,0,0,'[8]Electric Summary'!$AI$293,1)</definedName>
    <definedName name="El_kWh">OFFSET('[8]Electric Summary'!$AI$4,0,0,'[8]Electric Summary'!$AI$293,1)</definedName>
    <definedName name="ElecTotal">#REF!</definedName>
    <definedName name="Embankment">[10]Embankment!$J$27</definedName>
    <definedName name="ESC">[12]Names!$A$5</definedName>
    <definedName name="Escalation">'[13]Sum N'!$D$32</definedName>
    <definedName name="est_print">#REF!</definedName>
    <definedName name="est_title">#REF!</definedName>
    <definedName name="Establishment">[10]Tunnel!$U$13</definedName>
    <definedName name="ew">#REF!</definedName>
    <definedName name="ew_1">#REF!</definedName>
    <definedName name="ew_2">#REF!</definedName>
    <definedName name="ew_3">#REF!</definedName>
    <definedName name="ew_4">#REF!</definedName>
    <definedName name="ExtServTotal">#REF!</definedName>
    <definedName name="ExtSumTotal">[9]ExtSum!#REF!</definedName>
    <definedName name="ExtWallsTotal">#REF!</definedName>
    <definedName name="ExtWandDTotal">#REF!</definedName>
    <definedName name="fe">#REF!</definedName>
    <definedName name="FeesTotal">[9]Fees!#REF!</definedName>
    <definedName name="FenceTotal">#REF!</definedName>
    <definedName name="FFETotal">#REF!</definedName>
    <definedName name="first">#REF!</definedName>
    <definedName name="First_Year_End">[3]OPEX!#REF!</definedName>
    <definedName name="FlrFinTotal">#REF!</definedName>
    <definedName name="fourth">#REF!</definedName>
    <definedName name="FrameTotal">#REF!</definedName>
    <definedName name="froof">#REF!</definedName>
    <definedName name="GangTypes">'[2]L&amp;P Co2'!$C$18:$R$53</definedName>
    <definedName name="GC">[12]Names!$A$3</definedName>
    <definedName name="gfa" localSheetId="0">#REF!</definedName>
    <definedName name="gfa">#REF!</definedName>
    <definedName name="GG">#REF!</definedName>
    <definedName name="ggg">#REF!</definedName>
    <definedName name="ggsf">#REF!</definedName>
    <definedName name="grd">#REF!</definedName>
    <definedName name="GrdEastGFA">[9]Areas!$AX$11</definedName>
    <definedName name="GrdNthGFA">[9]Areas!$AX$13</definedName>
    <definedName name="GrdSthGFA">[9]Areas!$AX$15</definedName>
    <definedName name="GrossFA">#REF!</definedName>
    <definedName name="gsf">#REF!</definedName>
    <definedName name="gtcgsf">[14]EstimateGTC!$B$4</definedName>
    <definedName name="HardLandTotal">#REF!</definedName>
    <definedName name="Header1">IF(COUNTA([3]OPEX!$A$9:$A1048576)=0,0,INDEX([3]OPEX!$A$9:$A1048576,MATCH(ROW([3]OPEX!$A1048576),[3]OPEX!$A$9:$A1048576,TRUE)))+1</definedName>
    <definedName name="Header1.0" hidden="1">IF(COUNTA(#REF!)=0,0,INDEX(#REF!,MATCH(ROW(#REF!),#REF!,TRUE)))+1</definedName>
    <definedName name="HeaderBC">IF(COUNTA('[15]Scenario 1'!$A$9:$A1048576)=0,0,INDEX('[15]Scenario 1'!$A$9:$A1048576,MATCH(ROW('[15]Scenario 1'!$A1048576),'[15]Scenario 1'!$A$9:$A1048576,TRUE)))+1</definedName>
    <definedName name="HeaderBus">IF(COUNTA('[15]Bus savings'!$A$9:$A1048576)=0,0,INDEX('[15]Bus savings'!$A$9:$A1048576,MATCH(ROW('[15]Bus savings'!$A1048576),'[15]Bus savings'!$A$9:$A1048576,TRUE)))+1</definedName>
    <definedName name="HeaderCon" hidden="1">[16]Annual!Header1-1 &amp; "." &amp; MAX(1,COUNTA(INDEX(#REF!,MATCH([16]Annual!Header1-1,#REF!,FALSE)):#REF!))</definedName>
    <definedName name="HeaderConst">IF(COUNTA(#REF!)=0,0,INDEX(#REF!,MATCH(ROW(#REF!),#REF!,TRUE)))+1</definedName>
    <definedName name="HeaderScen1">IF(COUNTA('[15]Scenario 2'!$A$9:$A1048576)=0,0,INDEX('[15]Scenario 2'!$A$9:$A1048576,MATCH(ROW('[15]Scenario 1'!$A1048576),'[15]Scenario 2'!$A$9:$A1048576,TRUE)))+1</definedName>
    <definedName name="HeaderScen2">IF(COUNTA('[15]Scenario 3'!$A$9:$A1048576)=0,0,INDEX('[15]Scenario 3'!$A$9:$A1048576,MATCH(ROW('[15]Scenario 1'!$A1048576),'[15]Scenario 3'!$A$9:$A1048576,TRUE)))+1</definedName>
    <definedName name="HeaderSum">IF(COUNTA([15]Summary!$A$9:$A1048576)=0,0,INDEX([15]Summary!$A$9:$A1048576,MATCH(ROW([15]Summary!$A1048576),[15]Summary!$A$9:$A1048576,TRUE)))+1</definedName>
    <definedName name="HS2_PE">[10]Signalling!$B$39</definedName>
    <definedName name="HS2_rkm">[10]Signalling!$B$38</definedName>
    <definedName name="Ht_hrs">OFFSET('[8]Heating Summary'!$AI$4,0,0,'[8]Heating Summary'!$AH$293,1)</definedName>
    <definedName name="Ht_kWh">OFFSET('[8]Heating Summary'!$AH$4,0,0,'[8]Heating Summary'!$AH$293,1)</definedName>
    <definedName name="HtgTotal">#REF!</definedName>
    <definedName name="Indexation_Base_Date">[3]OPEX!#REF!</definedName>
    <definedName name="InfTotal">[9]Infn!#REF!</definedName>
    <definedName name="IntDrsTotal">#REF!</definedName>
    <definedName name="IntSumTotal">[9]IntSum!#REF!</definedName>
    <definedName name="IntWallsTotal">[9]Interiors!#REF!</definedName>
    <definedName name="Items">[2]Selection!$D$52:$D$103</definedName>
    <definedName name="JobName">[5]NameTable!$C$5</definedName>
    <definedName name="JobNo">[5]NameTable!$C$4</definedName>
    <definedName name="JobNumber">[11]Cover!$F$7</definedName>
    <definedName name="JobTitle">[9]Cover!$J$3</definedName>
    <definedName name="JobTitle1">#REF!</definedName>
    <definedName name="JobTitle2">#REF!</definedName>
    <definedName name="Layout">#REF!</definedName>
    <definedName name="Lev1EstGFA">[9]Areas!$AS$11</definedName>
    <definedName name="Lev1NthGFA">[9]Areas!$AS$13</definedName>
    <definedName name="Lev1SthGFA">[9]Areas!$AS$15</definedName>
    <definedName name="Lev2EstGFA">[9]Areas!$AT$11</definedName>
    <definedName name="Lev2NEGFA">[9]Areas!$AT$12</definedName>
    <definedName name="Lev2NthGFA">[9]Areas!$AT$13</definedName>
    <definedName name="Lev2SEGFA">[9]Areas!$AT$14</definedName>
    <definedName name="Lev2SthGFA">[9]Areas!$AT$15</definedName>
    <definedName name="Lev3EstGFA">[9]Areas!$AU$11</definedName>
    <definedName name="Lev3NEGFA">[9]Areas!$AU$12</definedName>
    <definedName name="Lev3NthGFA">[9]Areas!$AU$13</definedName>
    <definedName name="Lev3SEGFA">[9]Areas!$AU$14</definedName>
    <definedName name="Lev3SthGFA">[9]Areas!$AU$15</definedName>
    <definedName name="Lev4EstGFA">[9]Areas!$AV$11</definedName>
    <definedName name="Lev4NthGFA">[9]Areas!$AV$13</definedName>
    <definedName name="Lev4SthGFA">[9]Areas!$AV$15</definedName>
    <definedName name="Lev5EstGFA">[9]Areas!$AW$11</definedName>
    <definedName name="Lev5NthGFA">[9]Areas!$AW$13</definedName>
    <definedName name="Lev5SthGFA">[9]Areas!$AW$15</definedName>
    <definedName name="Level2">[2]Selection!$D$5:$D$46</definedName>
    <definedName name="LiftTotal">#REF!</definedName>
    <definedName name="line">#REF!</definedName>
    <definedName name="Links">#REF!</definedName>
    <definedName name="LookUpTable01">#REF!</definedName>
    <definedName name="lowest">#REF!</definedName>
    <definedName name="lroof">#REF!</definedName>
    <definedName name="M_E">[10]Tunnel!$S$5</definedName>
    <definedName name="MadeBy">[11]Cover!$F$9</definedName>
    <definedName name="Major_Risk">#REF!</definedName>
    <definedName name="MaterialTypes">'[2]Co2 Base Data'!$C$4:$C$22</definedName>
    <definedName name="MechPlantTotal">[9]Services!#REF!</definedName>
    <definedName name="Member_Location">[7]Cover!$F$19</definedName>
    <definedName name="Model_Start_Date">[3]OPEX!#REF!</definedName>
    <definedName name="Months_Year">[3]OPEX!#REF!</definedName>
    <definedName name="mw">#REF!</definedName>
    <definedName name="NewPage">#REF!</definedName>
    <definedName name="NormalBond">#REF!</definedName>
    <definedName name="OHLE">[10]Track!$D$15:$E$17</definedName>
    <definedName name="OperativeCO2">'[2]Co2 Types'!$F$342</definedName>
    <definedName name="Opex_Sc1">[3]OPEX!#REF!</definedName>
    <definedName name="Opex_Sc3">[3]OPEX!#REF!</definedName>
    <definedName name="OPTIOn">'Cost Matrix Tool'!#REF!</definedName>
    <definedName name="Overall_Summary_Title">'[17]Fill this out first...'!$I$4</definedName>
    <definedName name="Page_No">#REF!</definedName>
    <definedName name="Pal_Workbook_GUID" localSheetId="2" hidden="1">"J2VRWFA49SRSGLT92564BXBK"</definedName>
    <definedName name="Pal_Workbook_GUID" hidden="1">"56RIQQ2GZ2TAPN3U13HWQ5XN"</definedName>
    <definedName name="PcBeams">[2]Structure!$E$8:$J$35</definedName>
    <definedName name="Ph1_Construction_Duration">[3]OPEX!#REF!</definedName>
    <definedName name="Ph1_Construction_End_Date">[3]OPEX!#REF!</definedName>
    <definedName name="Ph1_Construction_Start_Date">[3]OPEX!#REF!</definedName>
    <definedName name="Ph1_Operation_End_Date">[3]OPEX!#REF!</definedName>
    <definedName name="Ph1_Operation_Start_Date">[3]OPEX!#REF!</definedName>
    <definedName name="Ph1_Sc1_Capex">[3]OPEX!#REF!</definedName>
    <definedName name="Ph1_Sc1_Opex">[3]OPEX!#REF!</definedName>
    <definedName name="Ph1_Sc1_Sav">[3]OPEX!#REF!</definedName>
    <definedName name="Ph1_Sc2_Capex">[3]OPEX!#REF!</definedName>
    <definedName name="Ph1_Sc2_Opex">[3]OPEX!#REF!</definedName>
    <definedName name="Ph1_Sc2_Sav">[3]OPEX!#REF!</definedName>
    <definedName name="Ph1_Sc3_Capex">[3]OPEX!#REF!</definedName>
    <definedName name="Ph1_Sc3_Opex">[3]OPEX!#REF!</definedName>
    <definedName name="Ph1_Sc3_Sav">[3]OPEX!#REF!</definedName>
    <definedName name="Ph2_Construction_Duration">[3]OPEX!#REF!</definedName>
    <definedName name="Ph2_Construction_End_Date">[3]OPEX!#REF!</definedName>
    <definedName name="Ph2_Construction_Start_Date">[3]OPEX!#REF!</definedName>
    <definedName name="Ph2_Operation_End_Date">[3]OPEX!#REF!</definedName>
    <definedName name="Ph2_Operation_Start_Date">[3]OPEX!#REF!</definedName>
    <definedName name="Ph2_Sc1_Capex">[3]OPEX!#REF!</definedName>
    <definedName name="Ph2_Sc1_Opex">[3]OPEX!#REF!</definedName>
    <definedName name="Ph2_Sc1_Sav">[3]OPEX!#REF!</definedName>
    <definedName name="Ph2_Sc2_Capex">[3]OPEX!#REF!</definedName>
    <definedName name="Ph2_Sc2_Opex">[3]OPEX!#REF!</definedName>
    <definedName name="Ph2_Sc2_Sav">[3]OPEX!#REF!</definedName>
    <definedName name="Ph2_Sc3_Capex">[3]OPEX!#REF!</definedName>
    <definedName name="Ph2_Sc3_Opex">[3]OPEX!#REF!</definedName>
    <definedName name="Ph2_Sc3_Sav">[3]OPEX!#REF!</definedName>
    <definedName name="Ph3_Construction_Duration">[3]OPEX!#REF!</definedName>
    <definedName name="Ph3_Construction_End_Date">[3]OPEX!#REF!</definedName>
    <definedName name="Ph3_Construction_Start_Date">[3]OPEX!#REF!</definedName>
    <definedName name="Ph3_Operation_End_Date">[3]OPEX!#REF!</definedName>
    <definedName name="Ph3_Operation_Start_Date">[3]OPEX!#REF!</definedName>
    <definedName name="Ph3_Sc1_Capex">[3]OPEX!#REF!</definedName>
    <definedName name="Ph3_Sc1_Opex">[3]OPEX!#REF!</definedName>
    <definedName name="Ph3_Sc1_Sav">[3]OPEX!#REF!</definedName>
    <definedName name="Ph3_Sc2_Capex">[3]OPEX!#REF!</definedName>
    <definedName name="Ph3_Sc2_Opex">[3]OPEX!#REF!</definedName>
    <definedName name="Ph3_Sc2_Sav">[3]OPEX!#REF!</definedName>
    <definedName name="Ph3_Sc3_Capex">[3]OPEX!#REF!</definedName>
    <definedName name="Ph3_Sc3_Opex">[3]OPEX!#REF!</definedName>
    <definedName name="Ph3_Sc3_Sav">[3]OPEX!#REF!</definedName>
    <definedName name="Piles">[18]Rates!$C$65:$C$85</definedName>
    <definedName name="PipDispTotal">#REF!</definedName>
    <definedName name="PipSuppTotal">#REF!</definedName>
    <definedName name="PlantCO2">'[2]L&amp;P Co2'!$V$25</definedName>
    <definedName name="Portal">[10]Tunnel!$U$14</definedName>
    <definedName name="Posts">#REF!</definedName>
    <definedName name="PrelimTotal">[9]Prelim!#REF!</definedName>
    <definedName name="_xlnm.Print_Area" localSheetId="1">'Basis of Estimate'!$E$1:$G$82</definedName>
    <definedName name="_xlnm.Print_Area" localSheetId="0">Cover!$D$1:$L$32</definedName>
    <definedName name="_xlnm.Print_Area" localSheetId="5">'Design Assumptions &lt;150'' Height'!$A$1:$AB$191</definedName>
    <definedName name="_xlnm.Print_Area" localSheetId="2">'Estimate Classification'!$A$1:$X$44</definedName>
    <definedName name="_xlnm.Print_Titles" localSheetId="1">'Basis of Estimate'!$1:$6</definedName>
    <definedName name="Project">[3]OPEX!$E$22</definedName>
    <definedName name="Project_Duration">[3]OPEX!#REF!</definedName>
    <definedName name="Project_End_Date">[3]OPEX!#REF!</definedName>
    <definedName name="Project_Start_Date">[3]OPEX!#REF!</definedName>
    <definedName name="ProjectStage">#REF!</definedName>
    <definedName name="projecttitle1">[4]Cover!$K$6</definedName>
    <definedName name="projecttitle2">[4]Cover!$K$7</definedName>
    <definedName name="ProtTotal">#REF!</definedName>
    <definedName name="qq">#REF!</definedName>
    <definedName name="quantity">#REF!</definedName>
    <definedName name="ratedata">[18]Rates!$C$7:$E$486</definedName>
    <definedName name="Rates">#REF!</definedName>
    <definedName name="ReportSection">#REF!</definedName>
    <definedName name="ReportTitle">#REF!</definedName>
    <definedName name="Rev">[5]NameTable!$C$8</definedName>
    <definedName name="RevDate">[5]NameTable!$C$9</definedName>
    <definedName name="Revision">[9]Rev!$B$10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localSheetId="2"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Probability">#REF!</definedName>
    <definedName name="RiskProbs">[10]Series!$E$5:$G$12</definedName>
    <definedName name="RiskRealTimeResults">FALSE</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tatFunctionsUpdateFreq">1</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TRUE</definedName>
    <definedName name="Road">[2]Road!$E$12:$AD$106</definedName>
    <definedName name="Roof">#REF!</definedName>
    <definedName name="ROOFING">#REF!</definedName>
    <definedName name="RoofTotal">#REF!</definedName>
    <definedName name="Routes">#REF!</definedName>
    <definedName name="SanitTotal">#REF!</definedName>
    <definedName name="Saving_Sc1">[3]OPEX!#REF!</definedName>
    <definedName name="Saving_Sc3">[3]OPEX!#REF!</definedName>
    <definedName name="second">#REF!</definedName>
    <definedName name="Selection">'[2]Co2 Types'!$C$5</definedName>
    <definedName name="SelectionRef">'[2]Co2 Types'!$C$4</definedName>
    <definedName name="Series">'[2]Level 1'!$C$4:$C$29</definedName>
    <definedName name="Series_Ref">'[2]Level 1'!$B$4:$B$29</definedName>
    <definedName name="sfront">#REF!</definedName>
    <definedName name="SheetNo">[7]Cover!$F$17</definedName>
    <definedName name="ShellSumTotal">[9]ShellSum!#REF!</definedName>
    <definedName name="Sides">#REF!</definedName>
    <definedName name="SiteBldgTotal">#REF!</definedName>
    <definedName name="SiteFurnTotal">[9]Externals!#REF!</definedName>
    <definedName name="sl">#REF!</definedName>
    <definedName name="sl1_print">#REF!</definedName>
    <definedName name="sl1_title">#REF!</definedName>
    <definedName name="sl2_print">#REF!</definedName>
    <definedName name="sl2_title">#REF!</definedName>
    <definedName name="SoftLandTotal">#REF!</definedName>
    <definedName name="Source">'[2]Level 3'!$I$4:$M$4</definedName>
    <definedName name="SP">[12]Names!$A$4</definedName>
    <definedName name="SpectTotal">#REF!</definedName>
    <definedName name="sroof">#REF!</definedName>
    <definedName name="StaffCO2">'[2]Co2 Types'!$F$329</definedName>
    <definedName name="StairsTotal">#REF!</definedName>
    <definedName name="Stations">#REF!</definedName>
    <definedName name="Status">'[2]Co2 Base Data'!$I$2</definedName>
    <definedName name="Structures">[2]Structure!$E$37:$S$124</definedName>
    <definedName name="SubstTotal">#REF!</definedName>
    <definedName name="subtotal1">#REF!</definedName>
    <definedName name="subtotal2">#REF!</definedName>
    <definedName name="SummaryAPMBridge">#REF!</definedName>
    <definedName name="takeOffDate">"May 14"</definedName>
    <definedName name="TandCTotal">#REF!</definedName>
    <definedName name="Ten">Sheet2!$B$3:$B$10</definedName>
    <definedName name="Tenant">#REF!</definedName>
    <definedName name="third">#REF!</definedName>
    <definedName name="Total_062">#REF!</definedName>
    <definedName name="Total_063">#REF!</definedName>
    <definedName name="Total_084">#REF!</definedName>
    <definedName name="Total_093">#REF!</definedName>
    <definedName name="TotBWIC">#REF!</definedName>
    <definedName name="TotClgFin">#REF!</definedName>
    <definedName name="TotComms">#REF!</definedName>
    <definedName name="TotContSum">#REF!</definedName>
    <definedName name="TotDe_Sum">#REF!</definedName>
    <definedName name="TotDemWk">#REF!</definedName>
    <definedName name="TotDInstal">#REF!</definedName>
    <definedName name="TotDrain">#REF!</definedName>
    <definedName name="TotEarth">#REF!</definedName>
    <definedName name="TotElec">#REF!</definedName>
    <definedName name="TotExt">#REF!</definedName>
    <definedName name="TotExtServ">#REF!</definedName>
    <definedName name="TotExtSum">#REF!</definedName>
    <definedName name="TotExtWall">#REF!</definedName>
    <definedName name="TotExtWD">#REF!</definedName>
    <definedName name="TotF_Light">#REF!</definedName>
    <definedName name="TotFac">'[5]Elemental Summary'!#REF!</definedName>
    <definedName name="TotFee">#REF!</definedName>
    <definedName name="TotFFE">#REF!</definedName>
    <definedName name="TotFFE_Sum">#REF!</definedName>
    <definedName name="TotFFSum">#REF!</definedName>
    <definedName name="TotFInstal">#REF!</definedName>
    <definedName name="TotFinSum">#REF!</definedName>
    <definedName name="TotFitOut">#REF!</definedName>
    <definedName name="TotFlrFin">#REF!</definedName>
    <definedName name="TotFrame">#REF!</definedName>
    <definedName name="TotHeatS">#REF!</definedName>
    <definedName name="TotInfl">#REF!</definedName>
    <definedName name="TotIntDr">#REF!</definedName>
    <definedName name="TotIntWall">#REF!</definedName>
    <definedName name="TotLift">#REF!</definedName>
    <definedName name="TotMBldW">#REF!</definedName>
    <definedName name="TotMCommS">#REF!</definedName>
    <definedName name="TotOffEq">#REF!</definedName>
    <definedName name="TotPalEq">#REF!</definedName>
    <definedName name="TotPipeD">#REF!</definedName>
    <definedName name="TotPlant">[19]PlantSum!$I$103</definedName>
    <definedName name="TotPrDisp">#REF!</definedName>
    <definedName name="TotPrElec">#REF!</definedName>
    <definedName name="TotPrEq">#REF!</definedName>
    <definedName name="TotPreSum">#REF!</definedName>
    <definedName name="TotPrSup">#REF!</definedName>
    <definedName name="TotRelEq">#REF!</definedName>
    <definedName name="TotRisk">#REF!</definedName>
    <definedName name="TotRoof">#REF!</definedName>
    <definedName name="TotSan">#REF!</definedName>
    <definedName name="TotSEquip">#REF!</definedName>
    <definedName name="TotSerSum">#REF!</definedName>
    <definedName name="TotServ">#REF!</definedName>
    <definedName name="TotServAncil">#REF!</definedName>
    <definedName name="TotSH_AC">#REF!</definedName>
    <definedName name="TotShell">#REF!</definedName>
    <definedName name="TotSiteW">#REF!</definedName>
    <definedName name="TotSpecInst">#REF!</definedName>
    <definedName name="TotStair">#REF!</definedName>
    <definedName name="TotSubst">#REF!</definedName>
    <definedName name="TotSubstSum">#REF!</definedName>
    <definedName name="TotSuprSum">#REF!</definedName>
    <definedName name="TotUpFlr">#REF!</definedName>
    <definedName name="TotUpFlrSum">#REF!</definedName>
    <definedName name="TotVAC">#REF!</definedName>
    <definedName name="TotVentS">#REF!</definedName>
    <definedName name="TotWallFin">#REF!</definedName>
    <definedName name="TotWhEq">#REF!</definedName>
    <definedName name="TotWInstl">#REF!</definedName>
    <definedName name="TPIHigh">#REF!</definedName>
    <definedName name="TPILow">#REF!</definedName>
    <definedName name="Track">[10]Track!$D$5:$E$7</definedName>
    <definedName name="Tunnel">[10]Tunnel!$C$7:$U$11</definedName>
    <definedName name="TunnelCosts">'[10]T (detail)'!$B$7:$E$60</definedName>
    <definedName name="Type">#REF!</definedName>
    <definedName name="Unit_cost">#REF!</definedName>
    <definedName name="UpFlrsTotal">#REF!</definedName>
    <definedName name="upper">#REF!</definedName>
    <definedName name="UserName">[2]User!$J$19</definedName>
    <definedName name="Users">'[2]Co2 Base Data'!$F$2:$F$25</definedName>
    <definedName name="VandACTotal">#REF!</definedName>
    <definedName name="Wall">'[10]Retaining Wall'!$J$32</definedName>
    <definedName name="WallFinTotal">#REF!</definedName>
    <definedName name="waterproofing">'[18]Piled Channel'!$J$126:$J$130</definedName>
    <definedName name="wdws">#REF!</definedName>
    <definedName name="Wild">#REF!</definedName>
    <definedName name="WInstl">#REF!</definedName>
    <definedName name="wrn.Client._.Report." localSheetId="2" hidden="1">{#N/A,#N/A,FALSE,"Project Cost Summary";#N/A,#N/A,FALSE,"Bldgs Sum";#N/A,#N/A,FALSE,"Bldgs Brkdn";#N/A,#N/A,FALSE,"Site Sum";#N/A,#N/A,FALSE,"Site Brkdn";#N/A,#N/A,FALSE,"GC Sum";#N/A,#N/A,FALSE,"GC Brkdn"}</definedName>
    <definedName name="wrn.Client._.Report." hidden="1">{#N/A,#N/A,FALSE,"Project Cost Summary";#N/A,#N/A,FALSE,"Bldgs Sum";#N/A,#N/A,FALSE,"Bldgs Brkdn";#N/A,#N/A,FALSE,"Site Sum";#N/A,#N/A,FALSE,"Site Brkdn";#N/A,#N/A,FALSE,"GC Sum";#N/A,#N/A,FALSE,"GC Brkdn"}</definedName>
    <definedName name="xa">'[1]LOWER BOUND'!$J$13</definedName>
    <definedName name="xb">'[1]LOWER BOUND'!$J$14</definedName>
    <definedName name="xc">'[1]LOWER BOUND'!$J$15</definedName>
    <definedName name="ya">'[1]LOWER BOUND'!$K$13</definedName>
    <definedName name="yb">'[1]LOWER BOUND'!$K$14</definedName>
    <definedName name="yc">'[1]LOWER BOUND'!$K$15</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29" l="1"/>
  <c r="D4" i="29"/>
  <c r="I10" i="13"/>
  <c r="J10" i="13"/>
  <c r="E6" i="29"/>
  <c r="D6" i="29"/>
  <c r="I11" i="13"/>
  <c r="J11" i="13"/>
  <c r="D19" i="29"/>
  <c r="I12" i="13"/>
  <c r="J12" i="13"/>
  <c r="D8" i="29"/>
  <c r="I13" i="13"/>
  <c r="J13" i="13"/>
  <c r="K10" i="13"/>
  <c r="BI12" i="20"/>
  <c r="E23" i="29"/>
  <c r="D23" i="29"/>
  <c r="I28" i="13"/>
  <c r="J28" i="13"/>
  <c r="E24" i="29"/>
  <c r="D24" i="29"/>
  <c r="I29" i="13"/>
  <c r="J29" i="13"/>
  <c r="D25" i="29"/>
  <c r="I30" i="13"/>
  <c r="J30" i="13"/>
  <c r="K28" i="13"/>
  <c r="BI14" i="20"/>
  <c r="D65" i="29"/>
  <c r="I49" i="13"/>
  <c r="J49" i="13"/>
  <c r="K49" i="13"/>
  <c r="BI16" i="20"/>
  <c r="BI18" i="20"/>
  <c r="BI20" i="20"/>
  <c r="BI24" i="20"/>
  <c r="I97" i="13"/>
  <c r="J97" i="13"/>
  <c r="K97" i="13"/>
  <c r="BI26" i="20"/>
  <c r="D79" i="29"/>
  <c r="I107" i="13"/>
  <c r="J107" i="13"/>
  <c r="D80" i="29"/>
  <c r="I108" i="13"/>
  <c r="J108" i="13"/>
  <c r="K106" i="13"/>
  <c r="BI29" i="20"/>
  <c r="BI31" i="20"/>
  <c r="D87" i="29"/>
  <c r="I131" i="13"/>
  <c r="J131" i="13"/>
  <c r="K131" i="13"/>
  <c r="BI33" i="20"/>
  <c r="D89" i="29"/>
  <c r="I143" i="13"/>
  <c r="J143" i="13"/>
  <c r="D90" i="29"/>
  <c r="I144" i="13"/>
  <c r="J144" i="13"/>
  <c r="K143" i="13"/>
  <c r="BI36" i="20"/>
  <c r="I149" i="13"/>
  <c r="J149" i="13"/>
  <c r="D76" i="29"/>
  <c r="I150" i="13"/>
  <c r="J150" i="13"/>
  <c r="K148" i="13"/>
  <c r="BI38" i="20"/>
  <c r="D94" i="29"/>
  <c r="I166" i="13"/>
  <c r="J166" i="13"/>
  <c r="D95" i="29"/>
  <c r="I167" i="13"/>
  <c r="J167" i="13"/>
  <c r="K166" i="13"/>
  <c r="BI40" i="20"/>
  <c r="BI42" i="20"/>
  <c r="D97" i="29"/>
  <c r="I183" i="13"/>
  <c r="J183" i="13"/>
  <c r="K183" i="13"/>
  <c r="BI44" i="20"/>
  <c r="D99" i="29"/>
  <c r="I191" i="13"/>
  <c r="J191" i="13"/>
  <c r="D102" i="29"/>
  <c r="I192" i="13"/>
  <c r="J192" i="13"/>
  <c r="K191" i="13"/>
  <c r="BI47" i="20"/>
  <c r="BI49" i="20"/>
  <c r="BJ12" i="20"/>
  <c r="D9" i="29"/>
  <c r="I14" i="13"/>
  <c r="J14" i="13"/>
  <c r="K14" i="13"/>
  <c r="BK12" i="20"/>
  <c r="BJ14" i="20"/>
  <c r="BK14" i="20"/>
  <c r="BJ16" i="20"/>
  <c r="I51" i="13"/>
  <c r="J51" i="13"/>
  <c r="K51" i="13"/>
  <c r="E32" i="29"/>
  <c r="D32" i="29"/>
  <c r="I50" i="13"/>
  <c r="J50" i="13"/>
  <c r="K50" i="13"/>
  <c r="BK16" i="20"/>
  <c r="BJ18" i="20"/>
  <c r="BK18" i="20"/>
  <c r="BJ20" i="20"/>
  <c r="K62" i="13"/>
  <c r="BK20" i="20"/>
  <c r="BJ24" i="20"/>
  <c r="E66" i="29"/>
  <c r="D66" i="29"/>
  <c r="I71" i="13"/>
  <c r="J71" i="13"/>
  <c r="E67" i="29"/>
  <c r="D67" i="29"/>
  <c r="I72" i="13"/>
  <c r="J72" i="13"/>
  <c r="E68" i="29"/>
  <c r="D68" i="29"/>
  <c r="I73" i="13"/>
  <c r="J73" i="13"/>
  <c r="E69" i="29"/>
  <c r="D69" i="29"/>
  <c r="I74" i="13"/>
  <c r="J74" i="13"/>
  <c r="K70" i="13"/>
  <c r="BK24" i="20"/>
  <c r="BJ26" i="20"/>
  <c r="BK26" i="20"/>
  <c r="BJ29" i="20"/>
  <c r="D77" i="29"/>
  <c r="I110" i="13"/>
  <c r="J110" i="13"/>
  <c r="K110" i="13"/>
  <c r="BK29" i="20"/>
  <c r="BJ31" i="20"/>
  <c r="D78" i="29"/>
  <c r="I119" i="13"/>
  <c r="J119" i="13"/>
  <c r="K119" i="13"/>
  <c r="BK31" i="20"/>
  <c r="BJ33" i="20"/>
  <c r="D88" i="29"/>
  <c r="I133" i="13"/>
  <c r="J133" i="13"/>
  <c r="K133" i="13"/>
  <c r="BK33" i="20"/>
  <c r="BJ36" i="20"/>
  <c r="BK36" i="20"/>
  <c r="BJ38" i="20"/>
  <c r="BK38" i="20"/>
  <c r="BJ40" i="20"/>
  <c r="BK40" i="20"/>
  <c r="BJ42" i="20"/>
  <c r="D116" i="29"/>
  <c r="I181" i="13"/>
  <c r="J181" i="13"/>
  <c r="K181" i="13"/>
  <c r="BK42" i="20"/>
  <c r="BJ44" i="20"/>
  <c r="E98" i="29"/>
  <c r="D98" i="29"/>
  <c r="I185" i="13"/>
  <c r="J185" i="13"/>
  <c r="K185" i="13"/>
  <c r="BK44" i="20"/>
  <c r="BJ47" i="20"/>
  <c r="BK47" i="20"/>
  <c r="BK49" i="20"/>
  <c r="BJ53" i="20"/>
  <c r="BJ56" i="20"/>
  <c r="J12" i="35"/>
  <c r="BJ59" i="20"/>
  <c r="H12" i="35"/>
  <c r="E5" i="29"/>
  <c r="D5" i="29"/>
  <c r="I10" i="12"/>
  <c r="J10" i="12"/>
  <c r="E7" i="29"/>
  <c r="D7" i="29"/>
  <c r="I11" i="12"/>
  <c r="J11" i="12"/>
  <c r="I12" i="12"/>
  <c r="J12" i="12"/>
  <c r="I13" i="12"/>
  <c r="J13" i="12"/>
  <c r="K10" i="12"/>
  <c r="BA12" i="20"/>
  <c r="I28" i="12"/>
  <c r="J28" i="12"/>
  <c r="I29" i="12"/>
  <c r="J29" i="12"/>
  <c r="I30" i="12"/>
  <c r="J30" i="12"/>
  <c r="K28" i="12"/>
  <c r="BA14" i="20"/>
  <c r="I49" i="12"/>
  <c r="J49" i="12"/>
  <c r="K49" i="12"/>
  <c r="BA16" i="20"/>
  <c r="BA18" i="20"/>
  <c r="D33" i="29"/>
  <c r="I57" i="12"/>
  <c r="J57" i="12"/>
  <c r="D34" i="29"/>
  <c r="I58" i="12"/>
  <c r="J58" i="12"/>
  <c r="K57" i="12"/>
  <c r="BA20" i="20"/>
  <c r="BA24" i="20"/>
  <c r="I97" i="12"/>
  <c r="J97" i="12"/>
  <c r="K97" i="12"/>
  <c r="BA26" i="20"/>
  <c r="D83" i="29"/>
  <c r="I107" i="12"/>
  <c r="J107" i="12"/>
  <c r="D84" i="29"/>
  <c r="I108" i="12"/>
  <c r="J108" i="12"/>
  <c r="K106" i="12"/>
  <c r="BA29" i="20"/>
  <c r="BA31" i="20"/>
  <c r="I131" i="12"/>
  <c r="J131" i="12"/>
  <c r="K131" i="12"/>
  <c r="BA33" i="20"/>
  <c r="I143" i="11"/>
  <c r="I143" i="12"/>
  <c r="J143" i="12"/>
  <c r="I144" i="11"/>
  <c r="I144" i="12"/>
  <c r="J144" i="12"/>
  <c r="K143" i="12"/>
  <c r="BA36" i="20"/>
  <c r="BA38" i="20"/>
  <c r="I166" i="11"/>
  <c r="I166" i="12"/>
  <c r="J166" i="12"/>
  <c r="I167" i="11"/>
  <c r="I167" i="12"/>
  <c r="J167" i="12"/>
  <c r="K166" i="12"/>
  <c r="BA40" i="20"/>
  <c r="I191" i="11"/>
  <c r="I191" i="12"/>
  <c r="J191" i="12"/>
  <c r="I192" i="11"/>
  <c r="I192" i="12"/>
  <c r="J192" i="12"/>
  <c r="K191" i="12"/>
  <c r="BA47" i="20"/>
  <c r="BA49" i="20"/>
  <c r="BB12" i="20"/>
  <c r="I14" i="12"/>
  <c r="J14" i="12"/>
  <c r="K14" i="12"/>
  <c r="BC12" i="20"/>
  <c r="BB14" i="20"/>
  <c r="BC14" i="20"/>
  <c r="BB16" i="20"/>
  <c r="I51" i="12"/>
  <c r="J51" i="12"/>
  <c r="K51" i="12"/>
  <c r="I50" i="12"/>
  <c r="J50" i="12"/>
  <c r="K50" i="12"/>
  <c r="BC16" i="20"/>
  <c r="BB18" i="20"/>
  <c r="BC18" i="20"/>
  <c r="BB20" i="20"/>
  <c r="E35" i="29"/>
  <c r="D35" i="29"/>
  <c r="I60" i="12"/>
  <c r="J60" i="12"/>
  <c r="I61" i="12"/>
  <c r="J61" i="12"/>
  <c r="K60" i="12"/>
  <c r="BC20" i="20"/>
  <c r="BB24" i="20"/>
  <c r="I71" i="12"/>
  <c r="J71" i="12"/>
  <c r="I72" i="12"/>
  <c r="J72" i="12"/>
  <c r="I73" i="12"/>
  <c r="J73" i="12"/>
  <c r="I74" i="12"/>
  <c r="J74" i="12"/>
  <c r="K70" i="12"/>
  <c r="BC24" i="20"/>
  <c r="BB26" i="20"/>
  <c r="BC26" i="20"/>
  <c r="BB29" i="20"/>
  <c r="I110" i="12"/>
  <c r="J110" i="12"/>
  <c r="K110" i="12"/>
  <c r="K109" i="12"/>
  <c r="BC29" i="20"/>
  <c r="BB31" i="20"/>
  <c r="I119" i="12"/>
  <c r="J119" i="12"/>
  <c r="K119" i="12"/>
  <c r="BC31" i="20"/>
  <c r="BB33" i="20"/>
  <c r="I133" i="12"/>
  <c r="J133" i="12"/>
  <c r="J134" i="12"/>
  <c r="J135" i="12"/>
  <c r="K133" i="12"/>
  <c r="BC33" i="20"/>
  <c r="BB36" i="20"/>
  <c r="E91" i="29"/>
  <c r="D91" i="29"/>
  <c r="I146" i="11"/>
  <c r="I146" i="12"/>
  <c r="J146" i="12"/>
  <c r="K146" i="12"/>
  <c r="BC36" i="20"/>
  <c r="BB38" i="20"/>
  <c r="BC38" i="20"/>
  <c r="BB40" i="20"/>
  <c r="I169" i="12"/>
  <c r="J169" i="12"/>
  <c r="K169" i="12"/>
  <c r="BC40" i="20"/>
  <c r="BB47" i="20"/>
  <c r="BC47" i="20"/>
  <c r="BC49" i="20"/>
  <c r="BB53" i="20"/>
  <c r="BB59" i="20"/>
  <c r="H11" i="35"/>
  <c r="BB56" i="20"/>
  <c r="J11" i="35"/>
  <c r="AT12" i="20"/>
  <c r="I14" i="11"/>
  <c r="J14" i="11"/>
  <c r="K14" i="11"/>
  <c r="AU12" i="20"/>
  <c r="AT14" i="20"/>
  <c r="AU14" i="20"/>
  <c r="AT16" i="20"/>
  <c r="J51" i="11"/>
  <c r="K51" i="11"/>
  <c r="I50" i="11"/>
  <c r="J50" i="11"/>
  <c r="K50" i="11"/>
  <c r="AU16" i="20"/>
  <c r="AT18" i="20"/>
  <c r="AU18" i="20"/>
  <c r="AT20" i="20"/>
  <c r="K62" i="11"/>
  <c r="I60" i="11"/>
  <c r="J60" i="11"/>
  <c r="I61" i="11"/>
  <c r="J61" i="11"/>
  <c r="K60" i="11"/>
  <c r="AU20" i="20"/>
  <c r="AT24" i="20"/>
  <c r="E61" i="29"/>
  <c r="D61" i="29"/>
  <c r="I71" i="11"/>
  <c r="J71" i="11"/>
  <c r="E62" i="29"/>
  <c r="D62" i="29"/>
  <c r="I72" i="11"/>
  <c r="J72" i="11"/>
  <c r="E63" i="29"/>
  <c r="D63" i="29"/>
  <c r="I73" i="11"/>
  <c r="J73" i="11"/>
  <c r="E64" i="29"/>
  <c r="D64" i="29"/>
  <c r="I74" i="11"/>
  <c r="J74" i="11"/>
  <c r="K70" i="11"/>
  <c r="AU24" i="20"/>
  <c r="AT26" i="20"/>
  <c r="AU26" i="20"/>
  <c r="AT29" i="20"/>
  <c r="I110" i="11"/>
  <c r="J110" i="11"/>
  <c r="K110" i="11"/>
  <c r="AU29" i="20"/>
  <c r="AT31" i="20"/>
  <c r="I119" i="11"/>
  <c r="J119" i="11"/>
  <c r="K119" i="11"/>
  <c r="AU31" i="20"/>
  <c r="AT33" i="20"/>
  <c r="I133" i="11"/>
  <c r="J133" i="11"/>
  <c r="K133" i="11"/>
  <c r="AU33" i="20"/>
  <c r="AT36" i="20"/>
  <c r="J146" i="11"/>
  <c r="K146" i="11"/>
  <c r="AU36" i="20"/>
  <c r="AT38" i="20"/>
  <c r="K152" i="11"/>
  <c r="AU38" i="20"/>
  <c r="AT40" i="20"/>
  <c r="I169" i="11"/>
  <c r="J169" i="11"/>
  <c r="K169" i="11"/>
  <c r="AU40" i="20"/>
  <c r="AT47" i="20"/>
  <c r="AU47" i="20"/>
  <c r="AU49" i="20"/>
  <c r="I10" i="11"/>
  <c r="J10" i="11"/>
  <c r="I11" i="11"/>
  <c r="J11" i="11"/>
  <c r="I12" i="11"/>
  <c r="J12" i="11"/>
  <c r="I13" i="11"/>
  <c r="J13" i="11"/>
  <c r="K10" i="11"/>
  <c r="AS12" i="20"/>
  <c r="E3" i="29"/>
  <c r="E22" i="29"/>
  <c r="D22" i="29"/>
  <c r="I28" i="11"/>
  <c r="J28" i="11"/>
  <c r="I29" i="11"/>
  <c r="J29" i="11"/>
  <c r="I30" i="11"/>
  <c r="J30" i="11"/>
  <c r="K28" i="11"/>
  <c r="AS14" i="20"/>
  <c r="D52" i="29"/>
  <c r="I49" i="11"/>
  <c r="J49" i="11"/>
  <c r="K49" i="11"/>
  <c r="AS16" i="20"/>
  <c r="AS18" i="20"/>
  <c r="I57" i="11"/>
  <c r="J57" i="11"/>
  <c r="I58" i="11"/>
  <c r="J58" i="11"/>
  <c r="J59" i="11"/>
  <c r="K57" i="11"/>
  <c r="AS20" i="20"/>
  <c r="AS24" i="20"/>
  <c r="I97" i="11"/>
  <c r="J97" i="11"/>
  <c r="K97" i="11"/>
  <c r="AS26" i="20"/>
  <c r="J106" i="11"/>
  <c r="I107" i="11"/>
  <c r="J107" i="11"/>
  <c r="I108" i="11"/>
  <c r="J108" i="11"/>
  <c r="K106" i="11"/>
  <c r="AS29" i="20"/>
  <c r="AS31" i="20"/>
  <c r="I131" i="11"/>
  <c r="J131" i="11"/>
  <c r="K131" i="11"/>
  <c r="AS33" i="20"/>
  <c r="J143" i="11"/>
  <c r="J144" i="11"/>
  <c r="K143" i="11"/>
  <c r="AS36" i="20"/>
  <c r="K148" i="11"/>
  <c r="AS38" i="20"/>
  <c r="J166" i="11"/>
  <c r="J167" i="11"/>
  <c r="K166" i="11"/>
  <c r="AS40" i="20"/>
  <c r="J191" i="11"/>
  <c r="J192" i="11"/>
  <c r="K191" i="11"/>
  <c r="AS47" i="20"/>
  <c r="AS49" i="20"/>
  <c r="AT53" i="20"/>
  <c r="AT56" i="20"/>
  <c r="J10" i="35"/>
  <c r="AT59" i="20"/>
  <c r="H10" i="35"/>
  <c r="D3" i="29"/>
  <c r="I10" i="10"/>
  <c r="J10" i="10"/>
  <c r="I11" i="10"/>
  <c r="J11" i="10"/>
  <c r="I12" i="10"/>
  <c r="J12" i="10"/>
  <c r="I13" i="10"/>
  <c r="J13" i="10"/>
  <c r="K10" i="10"/>
  <c r="AK12" i="20"/>
  <c r="I28" i="10"/>
  <c r="J28" i="10"/>
  <c r="I29" i="10"/>
  <c r="J29" i="10"/>
  <c r="I30" i="10"/>
  <c r="J30" i="10"/>
  <c r="K28" i="10"/>
  <c r="AK14" i="20"/>
  <c r="D31" i="29"/>
  <c r="I49" i="10"/>
  <c r="J49" i="10"/>
  <c r="I50" i="10"/>
  <c r="J50" i="10"/>
  <c r="I51" i="10"/>
  <c r="J51" i="10"/>
  <c r="K49" i="10"/>
  <c r="AK16" i="20"/>
  <c r="AK18" i="20"/>
  <c r="I57" i="10"/>
  <c r="J57" i="10"/>
  <c r="I58" i="10"/>
  <c r="J58" i="10"/>
  <c r="K57" i="10"/>
  <c r="AK20" i="20"/>
  <c r="D112" i="29"/>
  <c r="I64" i="10"/>
  <c r="J64" i="10"/>
  <c r="K64" i="10"/>
  <c r="AK22" i="20"/>
  <c r="AK24" i="20"/>
  <c r="D70" i="29"/>
  <c r="I100" i="10"/>
  <c r="J100" i="10"/>
  <c r="E71" i="29"/>
  <c r="D71" i="29"/>
  <c r="I101" i="10"/>
  <c r="J101" i="10"/>
  <c r="K100" i="10"/>
  <c r="AK26" i="20"/>
  <c r="D74" i="29"/>
  <c r="I107" i="10"/>
  <c r="J107" i="10"/>
  <c r="D75" i="29"/>
  <c r="I108" i="10"/>
  <c r="J108" i="10"/>
  <c r="K106" i="10"/>
  <c r="AK29" i="20"/>
  <c r="AK31" i="20"/>
  <c r="I131" i="10"/>
  <c r="J131" i="10"/>
  <c r="K131" i="10"/>
  <c r="AK33" i="20"/>
  <c r="I143" i="10"/>
  <c r="J143" i="10"/>
  <c r="I144" i="10"/>
  <c r="J144" i="10"/>
  <c r="K143" i="10"/>
  <c r="AK36" i="20"/>
  <c r="J148" i="10"/>
  <c r="I143" i="6"/>
  <c r="I149" i="10"/>
  <c r="J149" i="10"/>
  <c r="I113" i="6"/>
  <c r="I150" i="10"/>
  <c r="J150" i="10"/>
  <c r="K148" i="10"/>
  <c r="AK38" i="20"/>
  <c r="I165" i="6"/>
  <c r="I166" i="10"/>
  <c r="J166" i="10"/>
  <c r="I166" i="6"/>
  <c r="I167" i="10"/>
  <c r="J167" i="10"/>
  <c r="K166" i="10"/>
  <c r="AK40" i="20"/>
  <c r="AK42" i="20"/>
  <c r="I182" i="6"/>
  <c r="I183" i="10"/>
  <c r="J183" i="10"/>
  <c r="K183" i="10"/>
  <c r="AK44" i="20"/>
  <c r="I190" i="6"/>
  <c r="I191" i="10"/>
  <c r="J191" i="10"/>
  <c r="I191" i="6"/>
  <c r="I192" i="10"/>
  <c r="J192" i="10"/>
  <c r="K191" i="10"/>
  <c r="AK47" i="20"/>
  <c r="AK49" i="20"/>
  <c r="AL12" i="20"/>
  <c r="I14" i="10"/>
  <c r="J14" i="10"/>
  <c r="K14" i="10"/>
  <c r="AM12" i="20"/>
  <c r="AL14" i="20"/>
  <c r="AM14" i="20"/>
  <c r="AL16" i="20"/>
  <c r="AM16" i="20"/>
  <c r="AL18" i="20"/>
  <c r="AM18" i="20"/>
  <c r="AL20" i="20"/>
  <c r="K62" i="10"/>
  <c r="I60" i="10"/>
  <c r="J60" i="10"/>
  <c r="I61" i="10"/>
  <c r="J61" i="10"/>
  <c r="K60" i="10"/>
  <c r="AM20" i="20"/>
  <c r="AL22" i="20"/>
  <c r="D38" i="29"/>
  <c r="I66" i="10"/>
  <c r="J66" i="10"/>
  <c r="K66" i="10"/>
  <c r="D37" i="29"/>
  <c r="I65" i="10"/>
  <c r="J65" i="10"/>
  <c r="K65" i="10"/>
  <c r="AM22" i="20"/>
  <c r="AL24" i="20"/>
  <c r="E57" i="29"/>
  <c r="D57" i="29"/>
  <c r="I71" i="10"/>
  <c r="J71" i="10"/>
  <c r="E58" i="29"/>
  <c r="D58" i="29"/>
  <c r="I72" i="10"/>
  <c r="J72" i="10"/>
  <c r="E59" i="29"/>
  <c r="D59" i="29"/>
  <c r="I73" i="10"/>
  <c r="J73" i="10"/>
  <c r="E60" i="29"/>
  <c r="D60" i="29"/>
  <c r="I74" i="10"/>
  <c r="J74" i="10"/>
  <c r="K70" i="10"/>
  <c r="AM24" i="20"/>
  <c r="AL26" i="20"/>
  <c r="K103" i="10"/>
  <c r="AM26" i="20"/>
  <c r="AL29" i="20"/>
  <c r="I110" i="10"/>
  <c r="J110" i="10"/>
  <c r="K110" i="10"/>
  <c r="AM29" i="20"/>
  <c r="AL31" i="20"/>
  <c r="I119" i="10"/>
  <c r="J119" i="10"/>
  <c r="K119" i="10"/>
  <c r="AM31" i="20"/>
  <c r="AL33" i="20"/>
  <c r="I133" i="10"/>
  <c r="J133" i="10"/>
  <c r="K133" i="10"/>
  <c r="AM33" i="20"/>
  <c r="AL36" i="20"/>
  <c r="I146" i="10"/>
  <c r="J146" i="10"/>
  <c r="K146" i="10"/>
  <c r="AM36" i="20"/>
  <c r="AL38" i="20"/>
  <c r="E101" i="29"/>
  <c r="D101" i="29"/>
  <c r="I151" i="6"/>
  <c r="I152" i="10"/>
  <c r="J152" i="10"/>
  <c r="K152" i="10"/>
  <c r="AM38" i="20"/>
  <c r="AL40" i="20"/>
  <c r="I169" i="10"/>
  <c r="J169" i="10"/>
  <c r="K169" i="10"/>
  <c r="AM40" i="20"/>
  <c r="AL42" i="20"/>
  <c r="D96" i="29"/>
  <c r="I176" i="6"/>
  <c r="I177" i="10"/>
  <c r="J177" i="10"/>
  <c r="K177" i="10"/>
  <c r="AM42" i="20"/>
  <c r="AL44" i="20"/>
  <c r="I184" i="6"/>
  <c r="I185" i="10"/>
  <c r="J185" i="10"/>
  <c r="K185" i="10"/>
  <c r="AM44" i="20"/>
  <c r="AL47" i="20"/>
  <c r="AM47" i="20"/>
  <c r="AM49" i="20"/>
  <c r="AL53" i="20"/>
  <c r="AL56" i="20"/>
  <c r="J9" i="35"/>
  <c r="AL59" i="20"/>
  <c r="H9" i="35"/>
  <c r="AD12" i="20"/>
  <c r="D18" i="29"/>
  <c r="I26" i="9"/>
  <c r="J26" i="9"/>
  <c r="K26" i="9"/>
  <c r="AE12" i="20"/>
  <c r="AD14" i="20"/>
  <c r="AE14" i="20"/>
  <c r="AD16" i="20"/>
  <c r="J51" i="9"/>
  <c r="K51" i="9"/>
  <c r="I50" i="9"/>
  <c r="J50" i="9"/>
  <c r="K50" i="9"/>
  <c r="AE16" i="20"/>
  <c r="AD18" i="20"/>
  <c r="AE18" i="20"/>
  <c r="AD20" i="20"/>
  <c r="I60" i="9"/>
  <c r="J60" i="9"/>
  <c r="I61" i="9"/>
  <c r="J61" i="9"/>
  <c r="K60" i="9"/>
  <c r="AE20" i="20"/>
  <c r="AD24" i="20"/>
  <c r="E53" i="29"/>
  <c r="D53" i="29"/>
  <c r="I71" i="9"/>
  <c r="J71" i="9"/>
  <c r="E54" i="29"/>
  <c r="D54" i="29"/>
  <c r="I72" i="9"/>
  <c r="J72" i="9"/>
  <c r="E55" i="29"/>
  <c r="D55" i="29"/>
  <c r="I73" i="9"/>
  <c r="J73" i="9"/>
  <c r="E56" i="29"/>
  <c r="D56" i="29"/>
  <c r="I74" i="9"/>
  <c r="J74" i="9"/>
  <c r="K70" i="9"/>
  <c r="AE24" i="20"/>
  <c r="AD26" i="20"/>
  <c r="AE26" i="20"/>
  <c r="AD29" i="20"/>
  <c r="I110" i="9"/>
  <c r="J110" i="9"/>
  <c r="K110" i="9"/>
  <c r="AE29" i="20"/>
  <c r="AD31" i="20"/>
  <c r="I119" i="9"/>
  <c r="J119" i="9"/>
  <c r="K119" i="9"/>
  <c r="AE31" i="20"/>
  <c r="AD33" i="20"/>
  <c r="I133" i="9"/>
  <c r="J133" i="9"/>
  <c r="J134" i="9"/>
  <c r="J135" i="9"/>
  <c r="K133" i="9"/>
  <c r="AE33" i="20"/>
  <c r="AD36" i="20"/>
  <c r="I146" i="9"/>
  <c r="J146" i="9"/>
  <c r="K146" i="9"/>
  <c r="AE36" i="20"/>
  <c r="AD38" i="20"/>
  <c r="D93" i="29"/>
  <c r="I159" i="9"/>
  <c r="J159" i="9"/>
  <c r="K159" i="9"/>
  <c r="AE38" i="20"/>
  <c r="AD40" i="20"/>
  <c r="I169" i="9"/>
  <c r="J169" i="9"/>
  <c r="K169" i="9"/>
  <c r="AE40" i="20"/>
  <c r="AD47" i="20"/>
  <c r="AE47" i="20"/>
  <c r="AE49" i="20"/>
  <c r="D16" i="29"/>
  <c r="I22" i="9"/>
  <c r="J22" i="9"/>
  <c r="D17" i="29"/>
  <c r="I23" i="9"/>
  <c r="J23" i="9"/>
  <c r="J24" i="9"/>
  <c r="K22" i="9"/>
  <c r="I25" i="9"/>
  <c r="G25" i="9"/>
  <c r="J25" i="9"/>
  <c r="K25" i="9"/>
  <c r="AC12" i="20"/>
  <c r="I28" i="9"/>
  <c r="J28" i="9"/>
  <c r="I29" i="9"/>
  <c r="J29" i="9"/>
  <c r="I30" i="9"/>
  <c r="J30" i="9"/>
  <c r="K28" i="9"/>
  <c r="AC14" i="20"/>
  <c r="I49" i="9"/>
  <c r="J49" i="9"/>
  <c r="K49" i="9"/>
  <c r="AC16" i="20"/>
  <c r="AC18" i="20"/>
  <c r="I57" i="9"/>
  <c r="J57" i="9"/>
  <c r="I58" i="9"/>
  <c r="J58" i="9"/>
  <c r="J59" i="9"/>
  <c r="K57" i="9"/>
  <c r="AC20" i="20"/>
  <c r="AC24" i="20"/>
  <c r="I100" i="9"/>
  <c r="J100" i="9"/>
  <c r="I101" i="9"/>
  <c r="J101" i="9"/>
  <c r="K100" i="9"/>
  <c r="AC26" i="20"/>
  <c r="D81" i="29"/>
  <c r="I107" i="9"/>
  <c r="J107" i="9"/>
  <c r="D82" i="29"/>
  <c r="I108" i="9"/>
  <c r="J108" i="9"/>
  <c r="K106" i="9"/>
  <c r="AC29" i="20"/>
  <c r="AC31" i="20"/>
  <c r="I131" i="9"/>
  <c r="J131" i="9"/>
  <c r="K131" i="9"/>
  <c r="AC33" i="20"/>
  <c r="I143" i="9"/>
  <c r="J143" i="9"/>
  <c r="I144" i="9"/>
  <c r="J144" i="9"/>
  <c r="K143" i="9"/>
  <c r="AC36" i="20"/>
  <c r="AC38" i="20"/>
  <c r="I166" i="9"/>
  <c r="J166" i="9"/>
  <c r="I167" i="9"/>
  <c r="J167" i="9"/>
  <c r="K166" i="9"/>
  <c r="AC40" i="20"/>
  <c r="I191" i="9"/>
  <c r="J191" i="9"/>
  <c r="I192" i="9"/>
  <c r="J192" i="9"/>
  <c r="K191" i="9"/>
  <c r="AC47" i="20"/>
  <c r="AC49" i="20"/>
  <c r="AD53" i="20"/>
  <c r="AD56" i="20"/>
  <c r="J8" i="35"/>
  <c r="AD59" i="20"/>
  <c r="H8" i="35"/>
  <c r="V12" i="20"/>
  <c r="I26" i="8"/>
  <c r="J26" i="8"/>
  <c r="K26" i="8"/>
  <c r="I25" i="8"/>
  <c r="G25" i="8"/>
  <c r="J25" i="8"/>
  <c r="K25" i="8"/>
  <c r="W12" i="20"/>
  <c r="V14" i="20"/>
  <c r="W14" i="20"/>
  <c r="V16" i="20"/>
  <c r="I50" i="8"/>
  <c r="J50" i="8"/>
  <c r="K50" i="8"/>
  <c r="W16" i="20"/>
  <c r="V18" i="20"/>
  <c r="W18" i="20"/>
  <c r="V20" i="20"/>
  <c r="W20" i="20"/>
  <c r="V24" i="20"/>
  <c r="E48" i="29"/>
  <c r="D48" i="29"/>
  <c r="I71" i="8"/>
  <c r="J71" i="8"/>
  <c r="K70" i="8"/>
  <c r="W24" i="20"/>
  <c r="V26" i="20"/>
  <c r="W26" i="20"/>
  <c r="V29" i="20"/>
  <c r="I110" i="8"/>
  <c r="J110" i="8"/>
  <c r="K110" i="8"/>
  <c r="W29" i="20"/>
  <c r="V31" i="20"/>
  <c r="I119" i="8"/>
  <c r="J119" i="8"/>
  <c r="K119" i="8"/>
  <c r="W31" i="20"/>
  <c r="V33" i="20"/>
  <c r="I133" i="8"/>
  <c r="J133" i="8"/>
  <c r="K133" i="8"/>
  <c r="W33" i="20"/>
  <c r="V36" i="20"/>
  <c r="I146" i="8"/>
  <c r="J146" i="8"/>
  <c r="K146" i="8"/>
  <c r="W36" i="20"/>
  <c r="V38" i="20"/>
  <c r="I152" i="8"/>
  <c r="J152" i="8"/>
  <c r="K152" i="8"/>
  <c r="W38" i="20"/>
  <c r="V40" i="20"/>
  <c r="I169" i="8"/>
  <c r="J169" i="8"/>
  <c r="K169" i="8"/>
  <c r="W40" i="20"/>
  <c r="V47" i="20"/>
  <c r="W47" i="20"/>
  <c r="W49" i="20"/>
  <c r="I22" i="8"/>
  <c r="J22" i="8"/>
  <c r="I23" i="8"/>
  <c r="J23" i="8"/>
  <c r="J24" i="8"/>
  <c r="K22" i="8"/>
  <c r="U12" i="20"/>
  <c r="E20" i="29"/>
  <c r="D20" i="29"/>
  <c r="I28" i="8"/>
  <c r="J28" i="8"/>
  <c r="I29" i="8"/>
  <c r="J29" i="8"/>
  <c r="I30" i="8"/>
  <c r="J30" i="8"/>
  <c r="K28" i="8"/>
  <c r="U14" i="20"/>
  <c r="I49" i="8"/>
  <c r="J49" i="8"/>
  <c r="K49" i="8"/>
  <c r="U16" i="20"/>
  <c r="U18" i="20"/>
  <c r="I57" i="8"/>
  <c r="J57" i="8"/>
  <c r="I58" i="8"/>
  <c r="J58" i="8"/>
  <c r="K57" i="8"/>
  <c r="I60" i="8"/>
  <c r="J60" i="8"/>
  <c r="I61" i="8"/>
  <c r="J61" i="8"/>
  <c r="K60" i="8"/>
  <c r="U20" i="20"/>
  <c r="U24" i="20"/>
  <c r="I97" i="8"/>
  <c r="J97" i="8"/>
  <c r="K97" i="8"/>
  <c r="U26" i="20"/>
  <c r="I107" i="8"/>
  <c r="J107" i="8"/>
  <c r="I108" i="8"/>
  <c r="J108" i="8"/>
  <c r="K106" i="8"/>
  <c r="U29" i="20"/>
  <c r="U31" i="20"/>
  <c r="I131" i="8"/>
  <c r="J131" i="8"/>
  <c r="K131" i="8"/>
  <c r="U33" i="20"/>
  <c r="I143" i="8"/>
  <c r="J143" i="8"/>
  <c r="I144" i="8"/>
  <c r="J144" i="8"/>
  <c r="K143" i="8"/>
  <c r="U36" i="20"/>
  <c r="I149" i="8"/>
  <c r="J149" i="8"/>
  <c r="I150" i="8"/>
  <c r="J150" i="8"/>
  <c r="K148" i="8"/>
  <c r="U38" i="20"/>
  <c r="I166" i="8"/>
  <c r="J166" i="8"/>
  <c r="I167" i="8"/>
  <c r="J167" i="8"/>
  <c r="K166" i="8"/>
  <c r="U40" i="20"/>
  <c r="I191" i="8"/>
  <c r="J191" i="8"/>
  <c r="I192" i="8"/>
  <c r="J192" i="8"/>
  <c r="K191" i="8"/>
  <c r="U47" i="20"/>
  <c r="U49" i="20"/>
  <c r="V53" i="20"/>
  <c r="V56" i="20"/>
  <c r="J7" i="35"/>
  <c r="V59" i="20"/>
  <c r="H7" i="35"/>
  <c r="N12" i="20"/>
  <c r="I26" i="7"/>
  <c r="J26" i="7"/>
  <c r="K26" i="7"/>
  <c r="I25" i="7"/>
  <c r="G25" i="7"/>
  <c r="J25" i="7"/>
  <c r="K25" i="7"/>
  <c r="O12" i="20"/>
  <c r="N14" i="20"/>
  <c r="O14" i="20"/>
  <c r="N16" i="20"/>
  <c r="G51" i="7"/>
  <c r="J51" i="7"/>
  <c r="K51" i="7"/>
  <c r="O16" i="20"/>
  <c r="N18" i="20"/>
  <c r="O18" i="20"/>
  <c r="N20" i="20"/>
  <c r="O20" i="20"/>
  <c r="N24" i="20"/>
  <c r="E44" i="29"/>
  <c r="D44" i="29"/>
  <c r="I71" i="7"/>
  <c r="J71" i="7"/>
  <c r="K70" i="7"/>
  <c r="O24" i="20"/>
  <c r="N26" i="20"/>
  <c r="J103" i="7"/>
  <c r="K103" i="7"/>
  <c r="O26" i="20"/>
  <c r="N29" i="20"/>
  <c r="I110" i="7"/>
  <c r="J110" i="7"/>
  <c r="K110" i="7"/>
  <c r="O29" i="20"/>
  <c r="N31" i="20"/>
  <c r="I129" i="7"/>
  <c r="J129" i="7"/>
  <c r="K129" i="7"/>
  <c r="O31" i="20"/>
  <c r="N33" i="20"/>
  <c r="I133" i="7"/>
  <c r="J133" i="7"/>
  <c r="K133" i="7"/>
  <c r="O33" i="20"/>
  <c r="N36" i="20"/>
  <c r="I146" i="7"/>
  <c r="G146" i="7"/>
  <c r="J146" i="7"/>
  <c r="K146" i="7"/>
  <c r="O36" i="20"/>
  <c r="N38" i="20"/>
  <c r="I152" i="7"/>
  <c r="G152" i="7"/>
  <c r="J152" i="7"/>
  <c r="K152" i="7"/>
  <c r="O38" i="20"/>
  <c r="N40" i="20"/>
  <c r="I169" i="7"/>
  <c r="G169" i="7"/>
  <c r="J169" i="7"/>
  <c r="K169" i="7"/>
  <c r="O40" i="20"/>
  <c r="N47" i="20"/>
  <c r="O47" i="20"/>
  <c r="O49" i="20"/>
  <c r="I22" i="7"/>
  <c r="G22" i="7"/>
  <c r="J22" i="7"/>
  <c r="I23" i="7"/>
  <c r="G23" i="7"/>
  <c r="J23" i="7"/>
  <c r="K22" i="7"/>
  <c r="M12" i="20"/>
  <c r="E21" i="29"/>
  <c r="D21" i="29"/>
  <c r="I28" i="7"/>
  <c r="J28" i="7"/>
  <c r="I29" i="7"/>
  <c r="J29" i="7"/>
  <c r="I30" i="7"/>
  <c r="J30" i="7"/>
  <c r="K28" i="7"/>
  <c r="M14" i="20"/>
  <c r="D43" i="29"/>
  <c r="I49" i="7"/>
  <c r="J49" i="7"/>
  <c r="K49" i="7"/>
  <c r="I50" i="7"/>
  <c r="J50" i="7"/>
  <c r="K50" i="7"/>
  <c r="M16" i="20"/>
  <c r="M18" i="20"/>
  <c r="I57" i="7"/>
  <c r="J57" i="7"/>
  <c r="I58" i="7"/>
  <c r="J58" i="7"/>
  <c r="J59" i="7"/>
  <c r="K57" i="7"/>
  <c r="I60" i="7"/>
  <c r="J60" i="7"/>
  <c r="I61" i="7"/>
  <c r="J61" i="7"/>
  <c r="K60" i="7"/>
  <c r="M20" i="20"/>
  <c r="M24" i="20"/>
  <c r="I100" i="7"/>
  <c r="G100" i="7"/>
  <c r="J100" i="7"/>
  <c r="I101" i="7"/>
  <c r="J101" i="7"/>
  <c r="K100" i="7"/>
  <c r="M26" i="20"/>
  <c r="I107" i="7"/>
  <c r="J107" i="7"/>
  <c r="I108" i="7"/>
  <c r="J108" i="7"/>
  <c r="K106" i="7"/>
  <c r="M29" i="20"/>
  <c r="D106" i="29"/>
  <c r="I126" i="7"/>
  <c r="J126" i="7"/>
  <c r="D105" i="29"/>
  <c r="I127" i="7"/>
  <c r="J127" i="7"/>
  <c r="K125" i="7"/>
  <c r="M31" i="20"/>
  <c r="I131" i="7"/>
  <c r="G131" i="7"/>
  <c r="J131" i="7"/>
  <c r="K131" i="7"/>
  <c r="M33" i="20"/>
  <c r="I143" i="7"/>
  <c r="G143" i="7"/>
  <c r="J143" i="7"/>
  <c r="I144" i="7"/>
  <c r="G144" i="7"/>
  <c r="J144" i="7"/>
  <c r="K143" i="7"/>
  <c r="M36" i="20"/>
  <c r="J148" i="7"/>
  <c r="I149" i="7"/>
  <c r="G149" i="7"/>
  <c r="J149" i="7"/>
  <c r="I150" i="7"/>
  <c r="G150" i="7"/>
  <c r="J150" i="7"/>
  <c r="K148" i="7"/>
  <c r="M38" i="20"/>
  <c r="I166" i="7"/>
  <c r="G166" i="7"/>
  <c r="J166" i="7"/>
  <c r="I167" i="7"/>
  <c r="G167" i="7"/>
  <c r="J167" i="7"/>
  <c r="K166" i="7"/>
  <c r="M40" i="20"/>
  <c r="I191" i="7"/>
  <c r="G191" i="7"/>
  <c r="J191" i="7"/>
  <c r="I192" i="7"/>
  <c r="J192" i="7"/>
  <c r="K191" i="7"/>
  <c r="M47" i="20"/>
  <c r="M49" i="20"/>
  <c r="N53" i="20"/>
  <c r="N56" i="20"/>
  <c r="J6" i="35"/>
  <c r="N59" i="20"/>
  <c r="H6" i="35"/>
  <c r="I10" i="6"/>
  <c r="J10" i="6"/>
  <c r="I11" i="6"/>
  <c r="J11" i="6"/>
  <c r="I12" i="6"/>
  <c r="J12" i="6"/>
  <c r="I13" i="6"/>
  <c r="J13" i="6"/>
  <c r="K10" i="6"/>
  <c r="E12" i="20"/>
  <c r="J46" i="6"/>
  <c r="K46" i="6"/>
  <c r="D28" i="29"/>
  <c r="I47" i="6"/>
  <c r="J47" i="6"/>
  <c r="E29" i="29"/>
  <c r="D29" i="29"/>
  <c r="I48" i="6"/>
  <c r="J48" i="6"/>
  <c r="E30" i="29"/>
  <c r="D30" i="29"/>
  <c r="I49" i="6"/>
  <c r="J49" i="6"/>
  <c r="K47" i="6"/>
  <c r="E14" i="20"/>
  <c r="I53" i="6"/>
  <c r="J53" i="6"/>
  <c r="K53" i="6"/>
  <c r="E16" i="20"/>
  <c r="J57" i="6"/>
  <c r="K57" i="6"/>
  <c r="J58" i="6"/>
  <c r="K58" i="6"/>
  <c r="E18" i="20"/>
  <c r="I61" i="6"/>
  <c r="J61" i="6"/>
  <c r="I62" i="6"/>
  <c r="G62" i="6"/>
  <c r="J62" i="6"/>
  <c r="K61" i="6"/>
  <c r="E20" i="20"/>
  <c r="D36" i="29"/>
  <c r="I68" i="6"/>
  <c r="J68" i="6"/>
  <c r="K67" i="6"/>
  <c r="E22" i="20"/>
  <c r="J90" i="6"/>
  <c r="K90" i="6"/>
  <c r="E24" i="20"/>
  <c r="I97" i="6"/>
  <c r="G97" i="6"/>
  <c r="J97" i="6"/>
  <c r="K97" i="6"/>
  <c r="E26" i="20"/>
  <c r="D72" i="29"/>
  <c r="I107" i="6"/>
  <c r="J107" i="6"/>
  <c r="D73" i="29"/>
  <c r="I108" i="6"/>
  <c r="J108" i="6"/>
  <c r="K106" i="6"/>
  <c r="E29" i="20"/>
  <c r="D86" i="29"/>
  <c r="I125" i="6"/>
  <c r="J125" i="6"/>
  <c r="D85" i="29"/>
  <c r="I126" i="6"/>
  <c r="J126" i="6"/>
  <c r="K124" i="6"/>
  <c r="E31" i="20"/>
  <c r="I130" i="6"/>
  <c r="J130" i="6"/>
  <c r="K130" i="6"/>
  <c r="E33" i="20"/>
  <c r="I142" i="6"/>
  <c r="J142" i="6"/>
  <c r="J143" i="6"/>
  <c r="K142" i="6"/>
  <c r="E36" i="20"/>
  <c r="I148" i="6"/>
  <c r="J148" i="6"/>
  <c r="I149" i="6"/>
  <c r="J149" i="6"/>
  <c r="K147" i="6"/>
  <c r="E38" i="20"/>
  <c r="J165" i="6"/>
  <c r="J166" i="6"/>
  <c r="K165" i="6"/>
  <c r="E40" i="20"/>
  <c r="J176" i="6"/>
  <c r="K176" i="6"/>
  <c r="E42" i="20"/>
  <c r="J182" i="6"/>
  <c r="K182" i="6"/>
  <c r="E44" i="20"/>
  <c r="J190" i="6"/>
  <c r="J191" i="6"/>
  <c r="K190" i="6"/>
  <c r="E47" i="20"/>
  <c r="E49" i="20"/>
  <c r="F12" i="20"/>
  <c r="I14" i="6"/>
  <c r="G14" i="6"/>
  <c r="J14" i="6"/>
  <c r="K14" i="6"/>
  <c r="G12" i="20"/>
  <c r="F14" i="20"/>
  <c r="J50" i="6"/>
  <c r="K50" i="6"/>
  <c r="G14" i="20"/>
  <c r="F16" i="20"/>
  <c r="J55" i="6"/>
  <c r="K55" i="6"/>
  <c r="I54" i="6"/>
  <c r="J54" i="6"/>
  <c r="K54" i="6"/>
  <c r="G16" i="20"/>
  <c r="F18" i="20"/>
  <c r="J59" i="6"/>
  <c r="K59" i="6"/>
  <c r="G18" i="20"/>
  <c r="F20" i="20"/>
  <c r="J65" i="6"/>
  <c r="K65" i="6"/>
  <c r="I63" i="6"/>
  <c r="J63" i="6"/>
  <c r="I64" i="6"/>
  <c r="G64" i="6"/>
  <c r="J64" i="6"/>
  <c r="K63" i="6"/>
  <c r="G20" i="20"/>
  <c r="F22" i="20"/>
  <c r="I69" i="6"/>
  <c r="J69" i="6"/>
  <c r="K69" i="6"/>
  <c r="I70" i="6"/>
  <c r="J70" i="6"/>
  <c r="K70" i="6"/>
  <c r="G22" i="20"/>
  <c r="F24" i="20"/>
  <c r="E39" i="29"/>
  <c r="D39" i="29"/>
  <c r="I92" i="6"/>
  <c r="J92" i="6"/>
  <c r="E40" i="29"/>
  <c r="D40" i="29"/>
  <c r="I93" i="6"/>
  <c r="J93" i="6"/>
  <c r="E41" i="29"/>
  <c r="D41" i="29"/>
  <c r="I94" i="6"/>
  <c r="J94" i="6"/>
  <c r="E42" i="29"/>
  <c r="D42" i="29"/>
  <c r="I95" i="6"/>
  <c r="J95" i="6"/>
  <c r="K92" i="6"/>
  <c r="J91" i="6"/>
  <c r="K91" i="6"/>
  <c r="G24" i="20"/>
  <c r="F26" i="20"/>
  <c r="G26" i="20"/>
  <c r="F29" i="20"/>
  <c r="I110" i="6"/>
  <c r="J110" i="6"/>
  <c r="K110" i="6"/>
  <c r="G29" i="20"/>
  <c r="F31" i="20"/>
  <c r="I128" i="6"/>
  <c r="J128" i="6"/>
  <c r="K128" i="6"/>
  <c r="G31" i="20"/>
  <c r="F33" i="20"/>
  <c r="I132" i="6"/>
  <c r="J132" i="6"/>
  <c r="K132" i="6"/>
  <c r="G33" i="20"/>
  <c r="F36" i="20"/>
  <c r="I145" i="6"/>
  <c r="J145" i="6"/>
  <c r="K145" i="6"/>
  <c r="G36" i="20"/>
  <c r="F38" i="20"/>
  <c r="J151" i="6"/>
  <c r="K151" i="6"/>
  <c r="G38" i="20"/>
  <c r="F40" i="20"/>
  <c r="I168" i="6"/>
  <c r="G168" i="6"/>
  <c r="J168" i="6"/>
  <c r="K168" i="6"/>
  <c r="G40" i="20"/>
  <c r="F42" i="20"/>
  <c r="G42" i="20"/>
  <c r="F44" i="20"/>
  <c r="J184" i="6"/>
  <c r="K184" i="6"/>
  <c r="G44" i="20"/>
  <c r="F47" i="20"/>
  <c r="G47" i="20"/>
  <c r="G49" i="20"/>
  <c r="F53" i="20"/>
  <c r="F59" i="20"/>
  <c r="H5" i="35"/>
  <c r="F56" i="20"/>
  <c r="J5" i="35"/>
  <c r="E49" i="29"/>
  <c r="E45" i="29"/>
  <c r="G29" i="6"/>
  <c r="G25" i="10"/>
  <c r="G25" i="11"/>
  <c r="G25" i="12"/>
  <c r="G25" i="13"/>
  <c r="I12" i="7"/>
  <c r="J12" i="7"/>
  <c r="I12" i="8"/>
  <c r="J12" i="8"/>
  <c r="I12" i="9"/>
  <c r="J12" i="9"/>
  <c r="G12" i="35"/>
  <c r="F12" i="35"/>
  <c r="G11" i="35"/>
  <c r="F11" i="35"/>
  <c r="G10" i="35"/>
  <c r="F10" i="35"/>
  <c r="G9" i="35"/>
  <c r="F9" i="35"/>
  <c r="G8" i="35"/>
  <c r="F8" i="35"/>
  <c r="G7" i="35"/>
  <c r="F7" i="35"/>
  <c r="G6" i="35"/>
  <c r="F6" i="35"/>
  <c r="G5" i="35"/>
  <c r="F5" i="35"/>
  <c r="H13" i="24"/>
  <c r="D115" i="29"/>
  <c r="D114" i="29"/>
  <c r="D113" i="29"/>
  <c r="D111" i="29"/>
  <c r="D110" i="29"/>
  <c r="D109" i="29"/>
  <c r="D108" i="29"/>
  <c r="D107" i="29"/>
  <c r="D104" i="29"/>
  <c r="E103" i="29"/>
  <c r="D103" i="29"/>
  <c r="D100" i="29"/>
  <c r="D92" i="29"/>
  <c r="E51" i="29"/>
  <c r="D51" i="29"/>
  <c r="D49" i="29"/>
  <c r="D45" i="29"/>
  <c r="E15" i="29"/>
  <c r="D15" i="29"/>
  <c r="D14" i="29"/>
  <c r="D13" i="29"/>
  <c r="D12" i="29"/>
  <c r="D11" i="29"/>
  <c r="E50" i="29"/>
  <c r="D50" i="29"/>
  <c r="E47" i="29"/>
  <c r="D47" i="29"/>
  <c r="E46" i="29"/>
  <c r="D46" i="29"/>
  <c r="E27" i="29"/>
  <c r="D27" i="29"/>
  <c r="E26" i="29"/>
  <c r="D26" i="29"/>
  <c r="E10" i="29"/>
  <c r="D10" i="29"/>
  <c r="F70" i="8"/>
  <c r="I161" i="10"/>
  <c r="G17" i="6"/>
  <c r="I101" i="6"/>
  <c r="I100" i="6"/>
  <c r="I101" i="8"/>
  <c r="I100" i="8"/>
  <c r="I101" i="11"/>
  <c r="J101" i="11"/>
  <c r="I100" i="11"/>
  <c r="I101" i="12"/>
  <c r="I186" i="13"/>
  <c r="I174" i="13"/>
  <c r="I172" i="13"/>
  <c r="I171" i="13"/>
  <c r="I169" i="13"/>
  <c r="I159" i="13"/>
  <c r="I156" i="13"/>
  <c r="I155" i="13"/>
  <c r="I154" i="13"/>
  <c r="I152" i="13"/>
  <c r="I146" i="13"/>
  <c r="I138" i="13"/>
  <c r="J138" i="13"/>
  <c r="I136" i="13"/>
  <c r="I129" i="13"/>
  <c r="I126" i="13"/>
  <c r="I127" i="13"/>
  <c r="I124" i="13"/>
  <c r="I115" i="13"/>
  <c r="I113" i="13"/>
  <c r="I112" i="13"/>
  <c r="I111" i="13"/>
  <c r="I95" i="13"/>
  <c r="I94" i="13"/>
  <c r="I93" i="13"/>
  <c r="I92" i="13"/>
  <c r="I88" i="13"/>
  <c r="I87" i="13"/>
  <c r="I86" i="13"/>
  <c r="I85" i="13"/>
  <c r="I81" i="13"/>
  <c r="I80" i="13"/>
  <c r="I79" i="13"/>
  <c r="I78" i="13"/>
  <c r="I45" i="13"/>
  <c r="I44" i="13"/>
  <c r="I43" i="13"/>
  <c r="I40" i="13"/>
  <c r="I39" i="13"/>
  <c r="I38" i="13"/>
  <c r="I34" i="13"/>
  <c r="I33" i="13"/>
  <c r="I26" i="13"/>
  <c r="I25" i="13"/>
  <c r="I23" i="13"/>
  <c r="I22" i="13"/>
  <c r="I170" i="12"/>
  <c r="I129" i="12"/>
  <c r="I127" i="12"/>
  <c r="I126" i="12"/>
  <c r="I124" i="12"/>
  <c r="I115" i="12"/>
  <c r="I113" i="12"/>
  <c r="I112" i="12"/>
  <c r="I111" i="12"/>
  <c r="I100" i="12"/>
  <c r="I95" i="12"/>
  <c r="I94" i="12"/>
  <c r="I93" i="12"/>
  <c r="I92" i="12"/>
  <c r="I88" i="12"/>
  <c r="I87" i="12"/>
  <c r="I86" i="12"/>
  <c r="I85" i="12"/>
  <c r="I81" i="12"/>
  <c r="I80" i="12"/>
  <c r="I79" i="12"/>
  <c r="I78" i="12"/>
  <c r="I45" i="12"/>
  <c r="I44" i="12"/>
  <c r="I43" i="12"/>
  <c r="I40" i="12"/>
  <c r="I39" i="12"/>
  <c r="I38" i="12"/>
  <c r="I34" i="12"/>
  <c r="I33" i="12"/>
  <c r="I26" i="12"/>
  <c r="I25" i="12"/>
  <c r="I23" i="12"/>
  <c r="I22" i="12"/>
  <c r="I174" i="11"/>
  <c r="I172" i="11"/>
  <c r="I171" i="11"/>
  <c r="I174" i="12"/>
  <c r="I159" i="11"/>
  <c r="I159" i="12"/>
  <c r="I138" i="11"/>
  <c r="I136" i="11"/>
  <c r="I138" i="12"/>
  <c r="J138" i="12"/>
  <c r="I129" i="11"/>
  <c r="I126" i="11"/>
  <c r="I127" i="11"/>
  <c r="I124" i="11"/>
  <c r="I115" i="11"/>
  <c r="I113" i="11"/>
  <c r="I111" i="11"/>
  <c r="I112" i="11"/>
  <c r="I95" i="11"/>
  <c r="I94" i="11"/>
  <c r="I93" i="11"/>
  <c r="I92" i="11"/>
  <c r="I88" i="11"/>
  <c r="I87" i="11"/>
  <c r="I86" i="11"/>
  <c r="I85" i="11"/>
  <c r="I81" i="11"/>
  <c r="I80" i="11"/>
  <c r="I79" i="11"/>
  <c r="I78" i="11"/>
  <c r="I45" i="11"/>
  <c r="I44" i="11"/>
  <c r="I43" i="11"/>
  <c r="I40" i="11"/>
  <c r="I39" i="11"/>
  <c r="I38" i="11"/>
  <c r="I34" i="11"/>
  <c r="I33" i="11"/>
  <c r="I26" i="11"/>
  <c r="I25" i="11"/>
  <c r="I23" i="11"/>
  <c r="I22" i="11"/>
  <c r="I111" i="10"/>
  <c r="I138" i="10"/>
  <c r="I136" i="10"/>
  <c r="I129" i="10"/>
  <c r="I127" i="10"/>
  <c r="I126" i="10"/>
  <c r="I124" i="10"/>
  <c r="I115" i="10"/>
  <c r="I113" i="10"/>
  <c r="I112" i="10"/>
  <c r="I97" i="10"/>
  <c r="I95" i="10"/>
  <c r="I94" i="10"/>
  <c r="I93" i="10"/>
  <c r="I92" i="10"/>
  <c r="I88" i="10"/>
  <c r="I87" i="10"/>
  <c r="I86" i="10"/>
  <c r="I85" i="10"/>
  <c r="I81" i="10"/>
  <c r="I80" i="10"/>
  <c r="I79" i="10"/>
  <c r="I78" i="10"/>
  <c r="I45" i="10"/>
  <c r="I44" i="10"/>
  <c r="I43" i="10"/>
  <c r="I40" i="10"/>
  <c r="I39" i="10"/>
  <c r="I38" i="10"/>
  <c r="I34" i="10"/>
  <c r="I33" i="10"/>
  <c r="I26" i="10"/>
  <c r="I25" i="10"/>
  <c r="I23" i="10"/>
  <c r="I22" i="10"/>
  <c r="I174" i="9"/>
  <c r="I172" i="9"/>
  <c r="I171" i="9"/>
  <c r="I156" i="9"/>
  <c r="I155" i="9"/>
  <c r="I154" i="9"/>
  <c r="I152" i="9"/>
  <c r="I150" i="9"/>
  <c r="I149" i="9"/>
  <c r="I138" i="9"/>
  <c r="I129" i="9"/>
  <c r="I127" i="9"/>
  <c r="I126" i="9"/>
  <c r="I124" i="9"/>
  <c r="I111" i="9"/>
  <c r="I113" i="9"/>
  <c r="I112" i="9"/>
  <c r="I115" i="9"/>
  <c r="I97" i="9"/>
  <c r="I95" i="9"/>
  <c r="I94" i="9"/>
  <c r="I93" i="9"/>
  <c r="I92" i="9"/>
  <c r="I88" i="9"/>
  <c r="I87" i="9"/>
  <c r="I86" i="9"/>
  <c r="I85" i="9"/>
  <c r="I81" i="9"/>
  <c r="I80" i="9"/>
  <c r="I79" i="9"/>
  <c r="I78" i="9"/>
  <c r="I45" i="9"/>
  <c r="I44" i="9"/>
  <c r="I43" i="9"/>
  <c r="I40" i="9"/>
  <c r="I39" i="9"/>
  <c r="I38" i="9"/>
  <c r="I34" i="9"/>
  <c r="I33" i="9"/>
  <c r="I14" i="9"/>
  <c r="I13" i="9"/>
  <c r="I11" i="9"/>
  <c r="I10" i="9"/>
  <c r="I174" i="8"/>
  <c r="I172" i="8"/>
  <c r="I171" i="8"/>
  <c r="I159" i="8"/>
  <c r="I156" i="8"/>
  <c r="I155" i="8"/>
  <c r="I154" i="8"/>
  <c r="H154" i="8"/>
  <c r="I136" i="8"/>
  <c r="I138" i="8"/>
  <c r="J138" i="8"/>
  <c r="I129" i="8"/>
  <c r="I127" i="8"/>
  <c r="I126" i="8"/>
  <c r="I124" i="8"/>
  <c r="I111" i="8"/>
  <c r="I115" i="8"/>
  <c r="I113" i="8"/>
  <c r="I112" i="8"/>
  <c r="I95" i="8"/>
  <c r="I94" i="8"/>
  <c r="I93" i="8"/>
  <c r="I92" i="8"/>
  <c r="I88" i="8"/>
  <c r="I87" i="8"/>
  <c r="I86" i="8"/>
  <c r="I85" i="8"/>
  <c r="I81" i="8"/>
  <c r="I80" i="8"/>
  <c r="I79" i="8"/>
  <c r="I78" i="8"/>
  <c r="I74" i="8"/>
  <c r="I73" i="8"/>
  <c r="I72" i="8"/>
  <c r="I45" i="8"/>
  <c r="I44" i="8"/>
  <c r="I43" i="8"/>
  <c r="I40" i="8"/>
  <c r="I39" i="8"/>
  <c r="I38" i="8"/>
  <c r="I34" i="8"/>
  <c r="I33" i="8"/>
  <c r="I14" i="8"/>
  <c r="I13" i="8"/>
  <c r="I11" i="8"/>
  <c r="I10" i="8"/>
  <c r="I174" i="7"/>
  <c r="I172" i="7"/>
  <c r="I171" i="7"/>
  <c r="I159" i="7"/>
  <c r="I156" i="7"/>
  <c r="I155" i="7"/>
  <c r="I154" i="7"/>
  <c r="I138" i="7"/>
  <c r="I136" i="7"/>
  <c r="I124" i="7"/>
  <c r="I119" i="7"/>
  <c r="I111" i="7"/>
  <c r="I112" i="7"/>
  <c r="I113" i="7"/>
  <c r="I115" i="7"/>
  <c r="I97" i="7"/>
  <c r="I95" i="7"/>
  <c r="I94" i="7"/>
  <c r="I93" i="7"/>
  <c r="I92" i="7"/>
  <c r="I88" i="7"/>
  <c r="I87" i="7"/>
  <c r="I86" i="7"/>
  <c r="I85" i="7"/>
  <c r="I81" i="7"/>
  <c r="I80" i="7"/>
  <c r="I79" i="7"/>
  <c r="I78" i="7"/>
  <c r="I74" i="7"/>
  <c r="I73" i="7"/>
  <c r="I72" i="7"/>
  <c r="I45" i="7"/>
  <c r="I44" i="7"/>
  <c r="I43" i="7"/>
  <c r="I40" i="7"/>
  <c r="I39" i="7"/>
  <c r="I38" i="7"/>
  <c r="I33" i="7"/>
  <c r="I34" i="7"/>
  <c r="I14" i="7"/>
  <c r="I13" i="7"/>
  <c r="I11" i="7"/>
  <c r="I10" i="7"/>
  <c r="I185" i="6"/>
  <c r="I173" i="6"/>
  <c r="I171" i="6"/>
  <c r="I170" i="6"/>
  <c r="I174" i="10"/>
  <c r="I158" i="6"/>
  <c r="I159" i="10"/>
  <c r="I155" i="6"/>
  <c r="I154" i="6"/>
  <c r="I155" i="10"/>
  <c r="I153" i="6"/>
  <c r="I156" i="10"/>
  <c r="I137" i="6"/>
  <c r="J137" i="6"/>
  <c r="I135" i="6"/>
  <c r="I123" i="6"/>
  <c r="I119" i="6"/>
  <c r="I111" i="6"/>
  <c r="I115" i="6"/>
  <c r="I154" i="10"/>
  <c r="I112" i="6"/>
  <c r="I89" i="6"/>
  <c r="I88" i="6"/>
  <c r="I87" i="6"/>
  <c r="I86" i="6"/>
  <c r="I83" i="6"/>
  <c r="I82" i="6"/>
  <c r="I81" i="6"/>
  <c r="I80" i="6"/>
  <c r="I77" i="6"/>
  <c r="I76" i="6"/>
  <c r="I75" i="6"/>
  <c r="I74" i="6"/>
  <c r="I44" i="6"/>
  <c r="I43" i="6"/>
  <c r="I42" i="6"/>
  <c r="I38" i="6"/>
  <c r="I37" i="6"/>
  <c r="I34" i="6"/>
  <c r="I33" i="6"/>
  <c r="I32" i="6"/>
  <c r="I30" i="6"/>
  <c r="I29" i="6"/>
  <c r="I27" i="6"/>
  <c r="I26" i="6"/>
  <c r="I24" i="6"/>
  <c r="I23" i="6"/>
  <c r="I22" i="6"/>
  <c r="I21" i="6"/>
  <c r="I20" i="6"/>
  <c r="I19" i="6"/>
  <c r="I17" i="6"/>
  <c r="I172" i="12"/>
  <c r="I171" i="10"/>
  <c r="I171" i="12"/>
  <c r="I172" i="10"/>
  <c r="BJ22" i="20"/>
  <c r="BL20" i="20"/>
  <c r="BL22" i="20"/>
  <c r="BB44" i="20"/>
  <c r="BB42" i="20"/>
  <c r="BD44" i="20"/>
  <c r="BD42" i="20"/>
  <c r="BD22" i="20"/>
  <c r="BB22" i="20"/>
  <c r="BD18" i="20"/>
  <c r="AV42" i="20"/>
  <c r="AV44" i="20"/>
  <c r="AT44" i="20"/>
  <c r="AT42" i="20"/>
  <c r="AV22" i="20"/>
  <c r="AF22" i="20"/>
  <c r="AT22" i="20"/>
  <c r="AV18" i="20"/>
  <c r="AF44" i="20"/>
  <c r="AF42" i="20"/>
  <c r="AD44" i="20"/>
  <c r="AD42" i="20"/>
  <c r="AD22" i="20"/>
  <c r="X18" i="20"/>
  <c r="X44" i="20"/>
  <c r="X42" i="20"/>
  <c r="P22" i="20"/>
  <c r="V44" i="20"/>
  <c r="V42" i="20"/>
  <c r="V22" i="20"/>
  <c r="N44" i="20"/>
  <c r="N42" i="20"/>
  <c r="N22" i="20"/>
  <c r="BL18" i="20"/>
  <c r="AV38" i="20"/>
  <c r="AF18" i="20"/>
  <c r="P18" i="20"/>
  <c r="BD38" i="20"/>
  <c r="AN18" i="20"/>
  <c r="X22" i="20"/>
  <c r="F4" i="25"/>
  <c r="F1" i="25"/>
  <c r="BG7" i="20"/>
  <c r="AY7" i="20"/>
  <c r="AQ7" i="20"/>
  <c r="AI7" i="20"/>
  <c r="AA7" i="20"/>
  <c r="S7" i="20"/>
  <c r="L176" i="13"/>
  <c r="L161" i="13"/>
  <c r="L100" i="13"/>
  <c r="L64" i="13"/>
  <c r="L57" i="13"/>
  <c r="L53" i="13"/>
  <c r="L47" i="13"/>
  <c r="L19" i="13"/>
  <c r="L16" i="13"/>
  <c r="L16" i="12"/>
  <c r="L19" i="12"/>
  <c r="L47" i="12"/>
  <c r="L53" i="12"/>
  <c r="L64" i="12"/>
  <c r="L148" i="12"/>
  <c r="L153" i="12"/>
  <c r="L161" i="12"/>
  <c r="L176" i="12"/>
  <c r="L179" i="12"/>
  <c r="L183" i="12"/>
  <c r="L186" i="12"/>
  <c r="L186" i="11"/>
  <c r="L183" i="11"/>
  <c r="L179" i="11"/>
  <c r="L176" i="11"/>
  <c r="J161" i="11"/>
  <c r="J162" i="11"/>
  <c r="J163" i="11"/>
  <c r="K161" i="11"/>
  <c r="J165" i="11"/>
  <c r="K165" i="11"/>
  <c r="L161" i="11"/>
  <c r="K153" i="11"/>
  <c r="K155" i="11"/>
  <c r="K156" i="11"/>
  <c r="L153" i="11"/>
  <c r="L148" i="11"/>
  <c r="L64" i="11"/>
  <c r="L53" i="11"/>
  <c r="L47" i="11"/>
  <c r="L19" i="11"/>
  <c r="L179" i="10"/>
  <c r="L53" i="10"/>
  <c r="L47" i="10"/>
  <c r="L19" i="10"/>
  <c r="L16" i="10"/>
  <c r="L178" i="6"/>
  <c r="L186" i="9"/>
  <c r="L183" i="9"/>
  <c r="L179" i="9"/>
  <c r="L176" i="9"/>
  <c r="L64" i="9"/>
  <c r="L53" i="9"/>
  <c r="L47" i="9"/>
  <c r="L19" i="9"/>
  <c r="L16" i="9"/>
  <c r="L186" i="8"/>
  <c r="L183" i="8"/>
  <c r="L179" i="8"/>
  <c r="L176" i="8"/>
  <c r="J161" i="8"/>
  <c r="J162" i="8"/>
  <c r="J163" i="8"/>
  <c r="K161" i="8"/>
  <c r="L161" i="8"/>
  <c r="L64" i="8"/>
  <c r="L53" i="8"/>
  <c r="L47" i="8"/>
  <c r="L19" i="8"/>
  <c r="L16" i="8"/>
  <c r="L64" i="7"/>
  <c r="L179" i="7"/>
  <c r="L176" i="7"/>
  <c r="L186" i="7"/>
  <c r="L183" i="7"/>
  <c r="L53" i="7"/>
  <c r="L47" i="7"/>
  <c r="L19" i="7"/>
  <c r="L16" i="7"/>
  <c r="AN185" i="3"/>
  <c r="AM184" i="3"/>
  <c r="AM178" i="3"/>
  <c r="AN179" i="3"/>
  <c r="AM174" i="3"/>
  <c r="AL168" i="3"/>
  <c r="AM169" i="3"/>
  <c r="AN166" i="3"/>
  <c r="AM165" i="3"/>
  <c r="AL164" i="3"/>
  <c r="AM160" i="3"/>
  <c r="AM156" i="3"/>
  <c r="AN153" i="3"/>
  <c r="AM152" i="3"/>
  <c r="AL151" i="3"/>
  <c r="AL146" i="3"/>
  <c r="AM147" i="3"/>
  <c r="AM139" i="3"/>
  <c r="AM134" i="3"/>
  <c r="AM128" i="3"/>
  <c r="AM124" i="3"/>
  <c r="AM119" i="3"/>
  <c r="AM115" i="3"/>
  <c r="AL114" i="3"/>
  <c r="AM111" i="3"/>
  <c r="AL110" i="3"/>
  <c r="AM106" i="3"/>
  <c r="AM102" i="3"/>
  <c r="AL95" i="3"/>
  <c r="AM96" i="3"/>
  <c r="AN97" i="3"/>
  <c r="AN93" i="3"/>
  <c r="AM92" i="3"/>
  <c r="AM83" i="3"/>
  <c r="AL82" i="3"/>
  <c r="AN79" i="3"/>
  <c r="AM79" i="3"/>
  <c r="AL78" i="3"/>
  <c r="AL86" i="3"/>
  <c r="AM87" i="3"/>
  <c r="AM75" i="3"/>
  <c r="AL74" i="3"/>
  <c r="AN71" i="3"/>
  <c r="AM70" i="3"/>
  <c r="AL69" i="3"/>
  <c r="AM65" i="3"/>
  <c r="AL64" i="3"/>
  <c r="AN61" i="3"/>
  <c r="AL59" i="3"/>
  <c r="AL49" i="3"/>
  <c r="AN47" i="3"/>
  <c r="AN43" i="3"/>
  <c r="AN39" i="3"/>
  <c r="AM38" i="3"/>
  <c r="AN35" i="3"/>
  <c r="AM34" i="3"/>
  <c r="AM25" i="3"/>
  <c r="AL24" i="3"/>
  <c r="AN22" i="3"/>
  <c r="AM21" i="3"/>
  <c r="AL20" i="3"/>
  <c r="AN18" i="3"/>
  <c r="K120" i="13"/>
  <c r="AN66" i="3"/>
  <c r="J186" i="13"/>
  <c r="K186" i="13"/>
  <c r="J170" i="13"/>
  <c r="J156" i="13"/>
  <c r="K156" i="13"/>
  <c r="AN144" i="3"/>
  <c r="J155" i="13"/>
  <c r="K155" i="13"/>
  <c r="AM143" i="3"/>
  <c r="J154" i="13"/>
  <c r="K153" i="13"/>
  <c r="J152" i="13"/>
  <c r="K152" i="13"/>
  <c r="AN140" i="3"/>
  <c r="J145" i="13"/>
  <c r="J95" i="13"/>
  <c r="J94" i="13"/>
  <c r="J93" i="13"/>
  <c r="J92" i="13"/>
  <c r="J88" i="13"/>
  <c r="J87" i="13"/>
  <c r="J86" i="13"/>
  <c r="J85" i="13"/>
  <c r="J81" i="13"/>
  <c r="J80" i="13"/>
  <c r="J79" i="13"/>
  <c r="J78" i="13"/>
  <c r="AN55" i="3"/>
  <c r="J42" i="13"/>
  <c r="K42" i="13"/>
  <c r="AL45" i="3"/>
  <c r="J37" i="13"/>
  <c r="K37" i="13"/>
  <c r="AL41" i="3"/>
  <c r="J33" i="13"/>
  <c r="J24" i="13"/>
  <c r="J174" i="13"/>
  <c r="K174" i="13"/>
  <c r="AN161" i="3"/>
  <c r="J172" i="13"/>
  <c r="J171" i="13"/>
  <c r="J169" i="13"/>
  <c r="K169" i="13"/>
  <c r="AN157" i="3"/>
  <c r="J159" i="13"/>
  <c r="K159" i="13"/>
  <c r="J146" i="13"/>
  <c r="K146" i="13"/>
  <c r="AN135" i="3"/>
  <c r="J136" i="13"/>
  <c r="K136" i="13"/>
  <c r="J129" i="13"/>
  <c r="K129" i="13"/>
  <c r="J127" i="13"/>
  <c r="J126" i="13"/>
  <c r="J124" i="13"/>
  <c r="K123" i="13"/>
  <c r="BL31" i="20"/>
  <c r="J115" i="13"/>
  <c r="K115" i="13"/>
  <c r="AN107" i="3"/>
  <c r="J113" i="13"/>
  <c r="J112" i="13"/>
  <c r="J111" i="13"/>
  <c r="J45" i="13"/>
  <c r="J44" i="13"/>
  <c r="J43" i="13"/>
  <c r="J40" i="13"/>
  <c r="J39" i="13"/>
  <c r="J38" i="13"/>
  <c r="J34" i="13"/>
  <c r="J26" i="13"/>
  <c r="K26" i="13"/>
  <c r="AN30" i="3"/>
  <c r="J25" i="13"/>
  <c r="K25" i="13"/>
  <c r="AM29" i="3"/>
  <c r="J23" i="13"/>
  <c r="J22" i="13"/>
  <c r="F70" i="13"/>
  <c r="AJ185" i="3"/>
  <c r="AI184" i="3"/>
  <c r="AH177" i="3"/>
  <c r="AI178" i="3"/>
  <c r="AJ179" i="3"/>
  <c r="AJ175" i="3"/>
  <c r="AI174" i="3"/>
  <c r="AH173" i="3"/>
  <c r="AH168" i="3"/>
  <c r="AI169" i="3"/>
  <c r="AJ170" i="3"/>
  <c r="AJ166" i="3"/>
  <c r="AI165" i="3"/>
  <c r="AH164" i="3"/>
  <c r="AI156" i="3"/>
  <c r="AI160" i="3"/>
  <c r="AJ153" i="3"/>
  <c r="AI152" i="3"/>
  <c r="AH151" i="3"/>
  <c r="AJ144" i="3"/>
  <c r="AI143" i="3"/>
  <c r="AH142" i="3"/>
  <c r="AH146" i="3"/>
  <c r="AI147" i="3"/>
  <c r="AJ140" i="3"/>
  <c r="AI139" i="3"/>
  <c r="AH138" i="3"/>
  <c r="AI134" i="3"/>
  <c r="AI128" i="3"/>
  <c r="AI124" i="3"/>
  <c r="AI119" i="3"/>
  <c r="AI115" i="3"/>
  <c r="AH114" i="3"/>
  <c r="AI111" i="3"/>
  <c r="AH110" i="3"/>
  <c r="AI106" i="3"/>
  <c r="AI102" i="3"/>
  <c r="AI96" i="3"/>
  <c r="AJ97" i="3"/>
  <c r="AJ93" i="3"/>
  <c r="AI92" i="3"/>
  <c r="AH86" i="3"/>
  <c r="AI87" i="3"/>
  <c r="AI83" i="3"/>
  <c r="AH82" i="3"/>
  <c r="AI79" i="3"/>
  <c r="AH78" i="3"/>
  <c r="AI75" i="3"/>
  <c r="AH74" i="3"/>
  <c r="AH69" i="3"/>
  <c r="AI70" i="3"/>
  <c r="AJ71" i="3"/>
  <c r="AJ66" i="3"/>
  <c r="AJ61" i="3"/>
  <c r="AH59" i="3"/>
  <c r="AH49" i="3"/>
  <c r="AH45" i="3"/>
  <c r="AJ43" i="3"/>
  <c r="AH41" i="3"/>
  <c r="AJ39" i="3"/>
  <c r="AI38" i="3"/>
  <c r="AJ35" i="3"/>
  <c r="AI34" i="3"/>
  <c r="AI25" i="3"/>
  <c r="AH24" i="3"/>
  <c r="AJ22" i="3"/>
  <c r="AI21" i="3"/>
  <c r="AH20" i="3"/>
  <c r="AJ18" i="3"/>
  <c r="J124" i="12"/>
  <c r="K123" i="12"/>
  <c r="J112" i="12"/>
  <c r="J111" i="12"/>
  <c r="J33" i="12"/>
  <c r="J174" i="12"/>
  <c r="K174" i="12"/>
  <c r="AJ161" i="3"/>
  <c r="J172" i="12"/>
  <c r="J171" i="12"/>
  <c r="J170" i="12"/>
  <c r="J159" i="12"/>
  <c r="K159" i="12"/>
  <c r="I156" i="12"/>
  <c r="J156" i="12"/>
  <c r="I155" i="12"/>
  <c r="J155" i="12"/>
  <c r="I154" i="12"/>
  <c r="J154" i="12"/>
  <c r="I152" i="12"/>
  <c r="J152" i="12"/>
  <c r="I150" i="12"/>
  <c r="J150" i="12"/>
  <c r="I149" i="12"/>
  <c r="J149" i="12"/>
  <c r="I136" i="12"/>
  <c r="J136" i="12"/>
  <c r="K136" i="12"/>
  <c r="J129" i="12"/>
  <c r="K129" i="12"/>
  <c r="J127" i="12"/>
  <c r="J126" i="12"/>
  <c r="BD31" i="20"/>
  <c r="J115" i="12"/>
  <c r="K115" i="12"/>
  <c r="AJ107" i="3"/>
  <c r="J113" i="12"/>
  <c r="AJ103" i="3"/>
  <c r="J101" i="12"/>
  <c r="J100" i="12"/>
  <c r="J45" i="12"/>
  <c r="J44" i="12"/>
  <c r="J43" i="12"/>
  <c r="I42" i="12"/>
  <c r="J40" i="12"/>
  <c r="J39" i="12"/>
  <c r="J38" i="12"/>
  <c r="I37" i="12"/>
  <c r="J34" i="12"/>
  <c r="J26" i="12"/>
  <c r="K26" i="12"/>
  <c r="AJ30" i="3"/>
  <c r="J25" i="12"/>
  <c r="K25" i="12"/>
  <c r="AI29" i="3"/>
  <c r="J24" i="12"/>
  <c r="J23" i="12"/>
  <c r="J22" i="12"/>
  <c r="J95" i="12"/>
  <c r="J94" i="12"/>
  <c r="J93" i="12"/>
  <c r="J92" i="12"/>
  <c r="J88" i="12"/>
  <c r="J87" i="12"/>
  <c r="J86" i="12"/>
  <c r="J85" i="12"/>
  <c r="J81" i="12"/>
  <c r="J80" i="12"/>
  <c r="J79" i="12"/>
  <c r="J78" i="12"/>
  <c r="F91" i="12"/>
  <c r="F84" i="12"/>
  <c r="F77" i="12"/>
  <c r="F70" i="12"/>
  <c r="AF185" i="3"/>
  <c r="AE184" i="3"/>
  <c r="AD177" i="3"/>
  <c r="AE178" i="3"/>
  <c r="AF179" i="3"/>
  <c r="AF175" i="3"/>
  <c r="AE174" i="3"/>
  <c r="AD173" i="3"/>
  <c r="AD168" i="3"/>
  <c r="AE169" i="3"/>
  <c r="AF170" i="3"/>
  <c r="AF166" i="3"/>
  <c r="AE165" i="3"/>
  <c r="AD164" i="3"/>
  <c r="AE160" i="3"/>
  <c r="AE156" i="3"/>
  <c r="AE152" i="3"/>
  <c r="AD146" i="3"/>
  <c r="AE147" i="3"/>
  <c r="AE139" i="3"/>
  <c r="AE134" i="3"/>
  <c r="AE128" i="3"/>
  <c r="AE124" i="3"/>
  <c r="AE119" i="3"/>
  <c r="AE115" i="3"/>
  <c r="AD114" i="3"/>
  <c r="AE111" i="3"/>
  <c r="AD110" i="3"/>
  <c r="AE106" i="3"/>
  <c r="AE102" i="3"/>
  <c r="AE96" i="3"/>
  <c r="AF97" i="3"/>
  <c r="AF92" i="3"/>
  <c r="AD82" i="3"/>
  <c r="AE83" i="3"/>
  <c r="AD86" i="3"/>
  <c r="AE87" i="3"/>
  <c r="AE79" i="3"/>
  <c r="AD78" i="3"/>
  <c r="AE75" i="3"/>
  <c r="AD74" i="3"/>
  <c r="AF71" i="3"/>
  <c r="AE70" i="3"/>
  <c r="AD69" i="3"/>
  <c r="AF61" i="3"/>
  <c r="AD59" i="3"/>
  <c r="AD49" i="3"/>
  <c r="AF47" i="3"/>
  <c r="AF43" i="3"/>
  <c r="AF39" i="3"/>
  <c r="AE38" i="3"/>
  <c r="AE39" i="3"/>
  <c r="AF35" i="3"/>
  <c r="AE34" i="3"/>
  <c r="AE25" i="3"/>
  <c r="AD24" i="3"/>
  <c r="AF22" i="3"/>
  <c r="AE21" i="3"/>
  <c r="AD20" i="3"/>
  <c r="AF18" i="3"/>
  <c r="J78" i="11"/>
  <c r="J79" i="11"/>
  <c r="J80" i="11"/>
  <c r="J81" i="11"/>
  <c r="J85" i="11"/>
  <c r="J86" i="11"/>
  <c r="J87" i="11"/>
  <c r="J88" i="11"/>
  <c r="J92" i="11"/>
  <c r="J93" i="11"/>
  <c r="J94" i="11"/>
  <c r="J95" i="11"/>
  <c r="F91" i="11"/>
  <c r="F84" i="11"/>
  <c r="F77" i="11"/>
  <c r="F70" i="11"/>
  <c r="AB185" i="3"/>
  <c r="AA184" i="3"/>
  <c r="AA178" i="3"/>
  <c r="AB179" i="3"/>
  <c r="AA174" i="3"/>
  <c r="Z168" i="3"/>
  <c r="AA169" i="3"/>
  <c r="AB170" i="3"/>
  <c r="AB166" i="3"/>
  <c r="Z164" i="3"/>
  <c r="AA160" i="3"/>
  <c r="AA156" i="3"/>
  <c r="AA152" i="3"/>
  <c r="Z146" i="3"/>
  <c r="AA147" i="3"/>
  <c r="AA139" i="3"/>
  <c r="AA134" i="3"/>
  <c r="AA128" i="3"/>
  <c r="AA124" i="3"/>
  <c r="AA119" i="3"/>
  <c r="AA115" i="3"/>
  <c r="Z114" i="3"/>
  <c r="AA111" i="3"/>
  <c r="Z110" i="3"/>
  <c r="AA106" i="3"/>
  <c r="AA102" i="3"/>
  <c r="AA96" i="3"/>
  <c r="AB93" i="3"/>
  <c r="AA92" i="3"/>
  <c r="Z82" i="3"/>
  <c r="AA83" i="3"/>
  <c r="Z86" i="3"/>
  <c r="AA87" i="3"/>
  <c r="AA79" i="3"/>
  <c r="Z78" i="3"/>
  <c r="AA75" i="3"/>
  <c r="Z74" i="3"/>
  <c r="AB61" i="3"/>
  <c r="Z59" i="3"/>
  <c r="AB56" i="3"/>
  <c r="AA55" i="3"/>
  <c r="AB47" i="3"/>
  <c r="Z49" i="3"/>
  <c r="AB39" i="3"/>
  <c r="AA38" i="3"/>
  <c r="AB35" i="3"/>
  <c r="AA34" i="3"/>
  <c r="AA25" i="3"/>
  <c r="Z24" i="3"/>
  <c r="AB22" i="3"/>
  <c r="AA21" i="3"/>
  <c r="Z20" i="3"/>
  <c r="AB18" i="3"/>
  <c r="G171" i="7"/>
  <c r="J171" i="7"/>
  <c r="BL16" i="20"/>
  <c r="AN175" i="3"/>
  <c r="AL173" i="3"/>
  <c r="L183" i="13"/>
  <c r="AN170" i="3"/>
  <c r="BL42" i="20"/>
  <c r="L179" i="13"/>
  <c r="K33" i="13"/>
  <c r="AL37" i="3"/>
  <c r="L148" i="13"/>
  <c r="AL177" i="3"/>
  <c r="L186" i="13"/>
  <c r="AL142" i="3"/>
  <c r="L153" i="13"/>
  <c r="AL91" i="3"/>
  <c r="BL26" i="20"/>
  <c r="L97" i="13"/>
  <c r="AJ116" i="3"/>
  <c r="L121" i="12"/>
  <c r="AH91" i="3"/>
  <c r="BD26" i="20"/>
  <c r="L97" i="12"/>
  <c r="AI54" i="3"/>
  <c r="Z173" i="3"/>
  <c r="AJ56" i="3"/>
  <c r="AJ157" i="3"/>
  <c r="AM17" i="3"/>
  <c r="AN103" i="3"/>
  <c r="AI17" i="3"/>
  <c r="AJ135" i="3"/>
  <c r="L49" i="12"/>
  <c r="K138" i="13"/>
  <c r="AN129" i="3"/>
  <c r="BL47" i="20"/>
  <c r="AJ120" i="3"/>
  <c r="AN120" i="3"/>
  <c r="AL123" i="3"/>
  <c r="AN148" i="3"/>
  <c r="L157" i="13"/>
  <c r="AN116" i="3"/>
  <c r="L121" i="13"/>
  <c r="AH127" i="3"/>
  <c r="AJ148" i="3"/>
  <c r="L157" i="12"/>
  <c r="AJ112" i="3"/>
  <c r="L117" i="12"/>
  <c r="AH123" i="3"/>
  <c r="AN56" i="3"/>
  <c r="L49" i="13"/>
  <c r="AN112" i="3"/>
  <c r="L117" i="13"/>
  <c r="AL127" i="3"/>
  <c r="K22" i="13"/>
  <c r="BL36" i="20"/>
  <c r="BL40" i="20"/>
  <c r="K84" i="13"/>
  <c r="K77" i="13"/>
  <c r="L75" i="13"/>
  <c r="K91" i="13"/>
  <c r="AL54" i="3"/>
  <c r="AM54" i="3"/>
  <c r="AM55" i="3"/>
  <c r="BL14" i="20"/>
  <c r="K111" i="13"/>
  <c r="K43" i="13"/>
  <c r="K38" i="13"/>
  <c r="K125" i="13"/>
  <c r="K170" i="13"/>
  <c r="K33" i="12"/>
  <c r="K138" i="12"/>
  <c r="AJ129" i="3"/>
  <c r="K100" i="12"/>
  <c r="K170" i="12"/>
  <c r="BD47" i="20"/>
  <c r="K22" i="12"/>
  <c r="AI55" i="3"/>
  <c r="AJ55" i="3"/>
  <c r="K125" i="12"/>
  <c r="BD14" i="20"/>
  <c r="K38" i="12"/>
  <c r="K43" i="12"/>
  <c r="AH54" i="3"/>
  <c r="K111" i="12"/>
  <c r="K77" i="12"/>
  <c r="K84" i="12"/>
  <c r="K91" i="12"/>
  <c r="BD16" i="20"/>
  <c r="AL138" i="3"/>
  <c r="L33" i="13"/>
  <c r="L106" i="12"/>
  <c r="AH101" i="3"/>
  <c r="BL38" i="20"/>
  <c r="BL44" i="20"/>
  <c r="BD29" i="20"/>
  <c r="AN76" i="3"/>
  <c r="BL24" i="20"/>
  <c r="L68" i="13"/>
  <c r="AN88" i="3"/>
  <c r="L89" i="13"/>
  <c r="AN84" i="3"/>
  <c r="L82" i="13"/>
  <c r="AJ80" i="3"/>
  <c r="L75" i="12"/>
  <c r="AJ84" i="3"/>
  <c r="L82" i="12"/>
  <c r="AJ88" i="3"/>
  <c r="L89" i="12"/>
  <c r="AJ76" i="3"/>
  <c r="BD24" i="20"/>
  <c r="L68" i="12"/>
  <c r="AF76" i="3"/>
  <c r="AV24" i="20"/>
  <c r="L68" i="11"/>
  <c r="BL12" i="20"/>
  <c r="L191" i="13"/>
  <c r="BD36" i="20"/>
  <c r="BL29" i="20"/>
  <c r="BD40" i="20"/>
  <c r="BD12" i="20"/>
  <c r="AJ125" i="3"/>
  <c r="BD33" i="20"/>
  <c r="AN125" i="3"/>
  <c r="BL33" i="20"/>
  <c r="AI65" i="3"/>
  <c r="BD20" i="20"/>
  <c r="AL183" i="3"/>
  <c r="L136" i="13"/>
  <c r="L106" i="13"/>
  <c r="AL101" i="3"/>
  <c r="L42" i="12"/>
  <c r="AH28" i="3"/>
  <c r="L22" i="12"/>
  <c r="AH64" i="3"/>
  <c r="L57" i="12"/>
  <c r="AH159" i="3"/>
  <c r="L170" i="12"/>
  <c r="AM42" i="3"/>
  <c r="L37" i="13"/>
  <c r="AL33" i="3"/>
  <c r="L28" i="13"/>
  <c r="AH16" i="3"/>
  <c r="L10" i="12"/>
  <c r="AH95" i="3"/>
  <c r="L100" i="12"/>
  <c r="AH155" i="3"/>
  <c r="L166" i="12"/>
  <c r="AL159" i="3"/>
  <c r="L170" i="13"/>
  <c r="AM46" i="3"/>
  <c r="L42" i="13"/>
  <c r="AL133" i="3"/>
  <c r="L143" i="13"/>
  <c r="L131" i="12"/>
  <c r="L136" i="12"/>
  <c r="L131" i="13"/>
  <c r="AH105" i="3"/>
  <c r="L111" i="12"/>
  <c r="AI42" i="3"/>
  <c r="L37" i="12"/>
  <c r="AH118" i="3"/>
  <c r="L125" i="12"/>
  <c r="AH183" i="3"/>
  <c r="L191" i="12"/>
  <c r="AH133" i="3"/>
  <c r="L143" i="12"/>
  <c r="AH37" i="3"/>
  <c r="L33" i="12"/>
  <c r="AL118" i="3"/>
  <c r="L125" i="13"/>
  <c r="AL16" i="3"/>
  <c r="L10" i="13"/>
  <c r="AL105" i="3"/>
  <c r="L111" i="13"/>
  <c r="AL28" i="3"/>
  <c r="L22" i="13"/>
  <c r="AH33" i="3"/>
  <c r="L28" i="12"/>
  <c r="AL155" i="3"/>
  <c r="L166" i="13"/>
  <c r="AI46" i="3"/>
  <c r="AJ46" i="3"/>
  <c r="F91" i="10"/>
  <c r="F84" i="10"/>
  <c r="F77" i="10"/>
  <c r="F70" i="10"/>
  <c r="G37" i="9"/>
  <c r="G38" i="9"/>
  <c r="G39" i="9"/>
  <c r="G40" i="9"/>
  <c r="G42" i="9"/>
  <c r="G43" i="9"/>
  <c r="G44" i="9"/>
  <c r="G45" i="9"/>
  <c r="G45" i="10"/>
  <c r="G44" i="10"/>
  <c r="G43" i="10"/>
  <c r="G42" i="10"/>
  <c r="G40" i="10"/>
  <c r="G39" i="10"/>
  <c r="G38" i="10"/>
  <c r="G37" i="10"/>
  <c r="I186" i="10"/>
  <c r="I165" i="10"/>
  <c r="I163" i="10"/>
  <c r="I162" i="10"/>
  <c r="I42" i="10"/>
  <c r="I41" i="10"/>
  <c r="I37" i="10"/>
  <c r="X185" i="3"/>
  <c r="W184" i="3"/>
  <c r="V177" i="3"/>
  <c r="W178" i="3"/>
  <c r="X179" i="3"/>
  <c r="X175" i="3"/>
  <c r="W174" i="3"/>
  <c r="W173" i="3"/>
  <c r="V173" i="3"/>
  <c r="V168" i="3"/>
  <c r="W169" i="3"/>
  <c r="X170" i="3"/>
  <c r="X166" i="3"/>
  <c r="W165" i="3"/>
  <c r="V164" i="3"/>
  <c r="W160" i="3"/>
  <c r="W156" i="3"/>
  <c r="W152" i="3"/>
  <c r="W147" i="3"/>
  <c r="V146" i="3"/>
  <c r="W139" i="3"/>
  <c r="W134" i="3"/>
  <c r="W128" i="3"/>
  <c r="W124" i="3"/>
  <c r="W119" i="3"/>
  <c r="W115" i="3"/>
  <c r="V114" i="3"/>
  <c r="W111" i="3"/>
  <c r="V110" i="3"/>
  <c r="W106" i="3"/>
  <c r="W102" i="3"/>
  <c r="W96" i="3"/>
  <c r="X97" i="3"/>
  <c r="X93" i="3"/>
  <c r="W92" i="3"/>
  <c r="W87" i="3"/>
  <c r="V86" i="3"/>
  <c r="W83" i="3"/>
  <c r="V82" i="3"/>
  <c r="W79" i="3"/>
  <c r="V78" i="3"/>
  <c r="W75" i="3"/>
  <c r="V74" i="3"/>
  <c r="X71" i="3"/>
  <c r="W70" i="3"/>
  <c r="V69" i="3"/>
  <c r="X66" i="3"/>
  <c r="X61" i="3"/>
  <c r="V59" i="3"/>
  <c r="V49" i="3"/>
  <c r="X47" i="3"/>
  <c r="X39" i="3"/>
  <c r="W38" i="3"/>
  <c r="X35" i="3"/>
  <c r="W34" i="3"/>
  <c r="W25" i="3"/>
  <c r="V24" i="3"/>
  <c r="X22" i="3"/>
  <c r="W21" i="3"/>
  <c r="V20" i="3"/>
  <c r="X18" i="3"/>
  <c r="F91" i="9"/>
  <c r="F84" i="9"/>
  <c r="F77" i="9"/>
  <c r="F70" i="9"/>
  <c r="T185" i="3"/>
  <c r="S184" i="3"/>
  <c r="T179" i="3"/>
  <c r="S178" i="3"/>
  <c r="R177" i="3"/>
  <c r="T175" i="3"/>
  <c r="S174" i="3"/>
  <c r="R173" i="3"/>
  <c r="T170" i="3"/>
  <c r="S169" i="3"/>
  <c r="R168" i="3"/>
  <c r="T166" i="3"/>
  <c r="S165" i="3"/>
  <c r="R164" i="3"/>
  <c r="S160" i="3"/>
  <c r="S156" i="3"/>
  <c r="T153" i="3"/>
  <c r="S152" i="3"/>
  <c r="S147" i="3"/>
  <c r="R146" i="3"/>
  <c r="S139" i="3"/>
  <c r="S134" i="3"/>
  <c r="S128" i="3"/>
  <c r="S124" i="3"/>
  <c r="S119" i="3"/>
  <c r="S115" i="3"/>
  <c r="R114" i="3"/>
  <c r="S111" i="3"/>
  <c r="R110" i="3"/>
  <c r="S106" i="3"/>
  <c r="S102" i="3"/>
  <c r="T97" i="3"/>
  <c r="S96" i="3"/>
  <c r="T93" i="3"/>
  <c r="S92" i="3"/>
  <c r="S87" i="3"/>
  <c r="R86" i="3"/>
  <c r="S83" i="3"/>
  <c r="R82" i="3"/>
  <c r="S79" i="3"/>
  <c r="R78" i="3"/>
  <c r="S75" i="3"/>
  <c r="R74" i="3"/>
  <c r="T71" i="3"/>
  <c r="S70" i="3"/>
  <c r="R69" i="3"/>
  <c r="T66" i="3"/>
  <c r="T61" i="3"/>
  <c r="R59" i="3"/>
  <c r="R49" i="3"/>
  <c r="T47" i="3"/>
  <c r="T43" i="3"/>
  <c r="T39" i="3"/>
  <c r="S38" i="3"/>
  <c r="T35" i="3"/>
  <c r="S34" i="3"/>
  <c r="S25" i="3"/>
  <c r="R24" i="3"/>
  <c r="T18" i="3"/>
  <c r="G173" i="6"/>
  <c r="G174" i="8"/>
  <c r="G45" i="8"/>
  <c r="G42" i="8"/>
  <c r="G40" i="8"/>
  <c r="G37" i="8"/>
  <c r="H192" i="8"/>
  <c r="H171" i="8"/>
  <c r="H170" i="8"/>
  <c r="H166" i="8"/>
  <c r="H159" i="8"/>
  <c r="H156" i="8"/>
  <c r="H155" i="8"/>
  <c r="H152" i="8"/>
  <c r="H150" i="8"/>
  <c r="H144" i="8"/>
  <c r="H143" i="8"/>
  <c r="H136" i="8"/>
  <c r="H131" i="8"/>
  <c r="H119" i="8"/>
  <c r="H113" i="8"/>
  <c r="H100" i="8"/>
  <c r="H61" i="8"/>
  <c r="H60" i="8"/>
  <c r="H57" i="8"/>
  <c r="H45" i="8"/>
  <c r="H42" i="8"/>
  <c r="H40" i="8"/>
  <c r="H37" i="8"/>
  <c r="H24" i="8"/>
  <c r="H23" i="8"/>
  <c r="H22" i="8"/>
  <c r="H14" i="8"/>
  <c r="J153" i="7"/>
  <c r="J138" i="7"/>
  <c r="J124" i="7"/>
  <c r="J123" i="7"/>
  <c r="J115" i="7"/>
  <c r="J112" i="7"/>
  <c r="J111" i="7"/>
  <c r="J97" i="7"/>
  <c r="J91" i="7"/>
  <c r="J84" i="7"/>
  <c r="J77" i="7"/>
  <c r="J70" i="7"/>
  <c r="J41" i="7"/>
  <c r="J33" i="7"/>
  <c r="O87" i="3"/>
  <c r="N86" i="3"/>
  <c r="O83" i="3"/>
  <c r="N82" i="3"/>
  <c r="O79" i="3"/>
  <c r="N78" i="3"/>
  <c r="O75" i="3"/>
  <c r="N74" i="3"/>
  <c r="P71" i="3"/>
  <c r="O70" i="3"/>
  <c r="N69" i="3"/>
  <c r="P66" i="3"/>
  <c r="P61" i="3"/>
  <c r="N59" i="3"/>
  <c r="N49" i="3"/>
  <c r="P47" i="3"/>
  <c r="I11" i="35"/>
  <c r="AN191" i="3"/>
  <c r="AM191" i="3"/>
  <c r="AL191" i="3"/>
  <c r="K97" i="7"/>
  <c r="I12" i="35"/>
  <c r="BD59" i="20"/>
  <c r="BD53" i="20"/>
  <c r="K11" i="35"/>
  <c r="BD56" i="20"/>
  <c r="L97" i="7"/>
  <c r="G10" i="7"/>
  <c r="J10" i="7"/>
  <c r="G174" i="7"/>
  <c r="J174" i="7"/>
  <c r="G172" i="7"/>
  <c r="J172" i="7"/>
  <c r="G165" i="7"/>
  <c r="J165" i="7"/>
  <c r="G163" i="7"/>
  <c r="J163" i="7"/>
  <c r="G162" i="7"/>
  <c r="J162" i="7"/>
  <c r="G161" i="7"/>
  <c r="J161" i="7"/>
  <c r="G159" i="7"/>
  <c r="J159" i="7"/>
  <c r="G156" i="7"/>
  <c r="J156" i="7"/>
  <c r="G155" i="7"/>
  <c r="J155" i="7"/>
  <c r="G154" i="7"/>
  <c r="J154" i="7"/>
  <c r="G136" i="7"/>
  <c r="J136" i="7"/>
  <c r="G119" i="7"/>
  <c r="J119" i="7"/>
  <c r="G113" i="7"/>
  <c r="J113" i="7"/>
  <c r="J95" i="7"/>
  <c r="J94" i="7"/>
  <c r="J93" i="7"/>
  <c r="J92" i="7"/>
  <c r="J88" i="7"/>
  <c r="J87" i="7"/>
  <c r="J86" i="7"/>
  <c r="J85" i="7"/>
  <c r="J81" i="7"/>
  <c r="J80" i="7"/>
  <c r="J79" i="7"/>
  <c r="J78" i="7"/>
  <c r="J74" i="7"/>
  <c r="J73" i="7"/>
  <c r="J72" i="7"/>
  <c r="G45" i="7"/>
  <c r="J45" i="7"/>
  <c r="J44" i="7"/>
  <c r="J43" i="7"/>
  <c r="G42" i="7"/>
  <c r="J42" i="7"/>
  <c r="G40" i="7"/>
  <c r="J40" i="7"/>
  <c r="J39" i="7"/>
  <c r="J38" i="7"/>
  <c r="G37" i="7"/>
  <c r="J37" i="7"/>
  <c r="J34" i="7"/>
  <c r="G24" i="7"/>
  <c r="J13" i="7"/>
  <c r="J11" i="7"/>
  <c r="BL56" i="20"/>
  <c r="BL59" i="20"/>
  <c r="BL53" i="20"/>
  <c r="K12" i="35"/>
  <c r="K7" i="20"/>
  <c r="K10" i="7"/>
  <c r="J170" i="6"/>
  <c r="J89" i="6"/>
  <c r="J88" i="6"/>
  <c r="J87" i="6"/>
  <c r="J86" i="6"/>
  <c r="J83" i="6"/>
  <c r="J82" i="6"/>
  <c r="J81" i="6"/>
  <c r="J80" i="6"/>
  <c r="K86" i="6"/>
  <c r="K80" i="6"/>
  <c r="J44" i="6"/>
  <c r="J174" i="10"/>
  <c r="K174" i="10"/>
  <c r="AB161" i="3"/>
  <c r="AF66" i="3"/>
  <c r="J174" i="11"/>
  <c r="K174" i="11"/>
  <c r="AF161" i="3"/>
  <c r="J172" i="11"/>
  <c r="J171" i="11"/>
  <c r="J170" i="11"/>
  <c r="AF153" i="3"/>
  <c r="J159" i="11"/>
  <c r="K159" i="11"/>
  <c r="AE143" i="3"/>
  <c r="AD142" i="3"/>
  <c r="AF140" i="3"/>
  <c r="AD138" i="3"/>
  <c r="J138" i="11"/>
  <c r="J136" i="11"/>
  <c r="K136" i="11"/>
  <c r="AD127" i="3"/>
  <c r="J129" i="11"/>
  <c r="K129" i="11"/>
  <c r="AF120" i="3"/>
  <c r="J127" i="11"/>
  <c r="J126" i="11"/>
  <c r="J124" i="11"/>
  <c r="J123" i="11"/>
  <c r="J115" i="11"/>
  <c r="K115" i="11"/>
  <c r="AF107" i="3"/>
  <c r="J113" i="11"/>
  <c r="J112" i="11"/>
  <c r="J111" i="11"/>
  <c r="J100" i="11"/>
  <c r="J91" i="11"/>
  <c r="K91" i="11"/>
  <c r="J84" i="11"/>
  <c r="K84" i="11"/>
  <c r="J77" i="11"/>
  <c r="K77" i="11"/>
  <c r="AF56" i="3"/>
  <c r="J45" i="11"/>
  <c r="J44" i="11"/>
  <c r="J43" i="11"/>
  <c r="J42" i="11"/>
  <c r="K42" i="11"/>
  <c r="AD45" i="3"/>
  <c r="J40" i="11"/>
  <c r="J39" i="11"/>
  <c r="J38" i="11"/>
  <c r="J37" i="11"/>
  <c r="K37" i="11"/>
  <c r="AD41" i="3"/>
  <c r="J34" i="11"/>
  <c r="J33" i="11"/>
  <c r="J26" i="11"/>
  <c r="K26" i="11"/>
  <c r="AF30" i="3"/>
  <c r="J25" i="11"/>
  <c r="K25" i="11"/>
  <c r="AE29" i="3"/>
  <c r="J24" i="11"/>
  <c r="J23" i="11"/>
  <c r="J22" i="11"/>
  <c r="L16" i="11"/>
  <c r="AA70" i="3"/>
  <c r="J186" i="10"/>
  <c r="K186" i="10"/>
  <c r="AN44" i="20"/>
  <c r="J172" i="10"/>
  <c r="J171" i="10"/>
  <c r="J165" i="10"/>
  <c r="K165" i="10"/>
  <c r="AB153" i="3"/>
  <c r="J163" i="10"/>
  <c r="J162" i="10"/>
  <c r="J161" i="10"/>
  <c r="J159" i="10"/>
  <c r="K159" i="10"/>
  <c r="J156" i="10"/>
  <c r="K156" i="10"/>
  <c r="AB144" i="3"/>
  <c r="J155" i="10"/>
  <c r="K155" i="10"/>
  <c r="AA143" i="3"/>
  <c r="J154" i="10"/>
  <c r="J138" i="10"/>
  <c r="J136" i="10"/>
  <c r="K136" i="10"/>
  <c r="J129" i="10"/>
  <c r="K129" i="10"/>
  <c r="J127" i="10"/>
  <c r="J126" i="10"/>
  <c r="J124" i="10"/>
  <c r="J115" i="10"/>
  <c r="K115" i="10"/>
  <c r="AB107" i="3"/>
  <c r="J113" i="10"/>
  <c r="J112" i="10"/>
  <c r="J111" i="10"/>
  <c r="AB97" i="3"/>
  <c r="J97" i="10"/>
  <c r="K97" i="10"/>
  <c r="J95" i="10"/>
  <c r="J94" i="10"/>
  <c r="J93" i="10"/>
  <c r="J92" i="10"/>
  <c r="J91" i="10"/>
  <c r="J88" i="10"/>
  <c r="J87" i="10"/>
  <c r="J86" i="10"/>
  <c r="J85" i="10"/>
  <c r="J84" i="10"/>
  <c r="J81" i="10"/>
  <c r="J80" i="10"/>
  <c r="J79" i="10"/>
  <c r="J78" i="10"/>
  <c r="J77" i="10"/>
  <c r="J70" i="10"/>
  <c r="AB66" i="3"/>
  <c r="J45" i="10"/>
  <c r="J44" i="10"/>
  <c r="J42" i="10"/>
  <c r="K42" i="10"/>
  <c r="J41" i="10"/>
  <c r="K41" i="10"/>
  <c r="AB43" i="3"/>
  <c r="J40" i="10"/>
  <c r="J39" i="10"/>
  <c r="J37" i="10"/>
  <c r="K37" i="10"/>
  <c r="J34" i="10"/>
  <c r="J33" i="10"/>
  <c r="J26" i="10"/>
  <c r="K26" i="10"/>
  <c r="AB30" i="3"/>
  <c r="J25" i="10"/>
  <c r="K25" i="10"/>
  <c r="AA29" i="3"/>
  <c r="J24" i="10"/>
  <c r="J23" i="10"/>
  <c r="J22" i="10"/>
  <c r="G14" i="9"/>
  <c r="J14" i="9"/>
  <c r="J174" i="9"/>
  <c r="J172" i="9"/>
  <c r="J171" i="9"/>
  <c r="J170" i="9"/>
  <c r="J165" i="9"/>
  <c r="J163" i="9"/>
  <c r="J162" i="9"/>
  <c r="J161" i="9"/>
  <c r="J156" i="9"/>
  <c r="J155" i="9"/>
  <c r="J154" i="9"/>
  <c r="J153" i="9"/>
  <c r="J152" i="9"/>
  <c r="J150" i="9"/>
  <c r="J149" i="9"/>
  <c r="J148" i="9"/>
  <c r="J138" i="9"/>
  <c r="J136" i="9"/>
  <c r="J129" i="9"/>
  <c r="J127" i="9"/>
  <c r="J126" i="9"/>
  <c r="J124" i="9"/>
  <c r="J115" i="9"/>
  <c r="J113" i="9"/>
  <c r="J112" i="9"/>
  <c r="J111" i="9"/>
  <c r="J97" i="9"/>
  <c r="J95" i="9"/>
  <c r="J94" i="9"/>
  <c r="J93" i="9"/>
  <c r="J92" i="9"/>
  <c r="J88" i="9"/>
  <c r="J87" i="9"/>
  <c r="J86" i="9"/>
  <c r="J85" i="9"/>
  <c r="J81" i="9"/>
  <c r="J80" i="9"/>
  <c r="J79" i="9"/>
  <c r="J78" i="9"/>
  <c r="J45" i="9"/>
  <c r="J44" i="9"/>
  <c r="J43" i="9"/>
  <c r="J42" i="9"/>
  <c r="J41" i="9"/>
  <c r="J40" i="9"/>
  <c r="J39" i="9"/>
  <c r="J38" i="9"/>
  <c r="J37" i="9"/>
  <c r="J34" i="9"/>
  <c r="J33" i="9"/>
  <c r="J13" i="9"/>
  <c r="J11" i="9"/>
  <c r="J10" i="9"/>
  <c r="J10" i="8"/>
  <c r="J174" i="8"/>
  <c r="J172" i="8"/>
  <c r="J171" i="8"/>
  <c r="J170" i="8"/>
  <c r="J159" i="8"/>
  <c r="J156" i="8"/>
  <c r="J155" i="8"/>
  <c r="J154" i="8"/>
  <c r="J136" i="8"/>
  <c r="J129" i="8"/>
  <c r="J127" i="8"/>
  <c r="J126" i="8"/>
  <c r="J124" i="8"/>
  <c r="J115" i="8"/>
  <c r="J113" i="8"/>
  <c r="J112" i="8"/>
  <c r="J111" i="8"/>
  <c r="J101" i="8"/>
  <c r="J100" i="8"/>
  <c r="J95" i="8"/>
  <c r="J94" i="8"/>
  <c r="J93" i="8"/>
  <c r="J92" i="8"/>
  <c r="K91" i="8"/>
  <c r="J88" i="8"/>
  <c r="J87" i="8"/>
  <c r="J86" i="8"/>
  <c r="J85" i="8"/>
  <c r="K84" i="8"/>
  <c r="J81" i="8"/>
  <c r="J80" i="8"/>
  <c r="J79" i="8"/>
  <c r="J78" i="8"/>
  <c r="K77" i="8"/>
  <c r="J74" i="8"/>
  <c r="J73" i="8"/>
  <c r="J72" i="8"/>
  <c r="J51" i="8"/>
  <c r="T56" i="3"/>
  <c r="J45" i="8"/>
  <c r="J44" i="8"/>
  <c r="J43" i="8"/>
  <c r="J42" i="8"/>
  <c r="J40" i="8"/>
  <c r="J39" i="8"/>
  <c r="J38" i="8"/>
  <c r="J37" i="8"/>
  <c r="J34" i="8"/>
  <c r="J33" i="8"/>
  <c r="J13" i="8"/>
  <c r="J11" i="8"/>
  <c r="AE55" i="3"/>
  <c r="AV47" i="20"/>
  <c r="AF157" i="3"/>
  <c r="AF148" i="3"/>
  <c r="L157" i="11"/>
  <c r="AF135" i="3"/>
  <c r="AD123" i="3"/>
  <c r="AF112" i="3"/>
  <c r="AV31" i="20"/>
  <c r="L117" i="11"/>
  <c r="AF103" i="3"/>
  <c r="AE91" i="3"/>
  <c r="AV26" i="20"/>
  <c r="L97" i="11"/>
  <c r="AF80" i="3"/>
  <c r="L75" i="11"/>
  <c r="AF84" i="3"/>
  <c r="L82" i="11"/>
  <c r="AF88" i="3"/>
  <c r="L89" i="11"/>
  <c r="AD54" i="3"/>
  <c r="L49" i="11"/>
  <c r="AE17" i="3"/>
  <c r="Z91" i="3"/>
  <c r="L97" i="10"/>
  <c r="T80" i="3"/>
  <c r="L75" i="8"/>
  <c r="T84" i="3"/>
  <c r="L82" i="8"/>
  <c r="T88" i="3"/>
  <c r="L89" i="8"/>
  <c r="T76" i="3"/>
  <c r="L68" i="8"/>
  <c r="J43" i="10"/>
  <c r="K43" i="10"/>
  <c r="J38" i="10"/>
  <c r="K38" i="10"/>
  <c r="AA42" i="3"/>
  <c r="AN22" i="20"/>
  <c r="AB71" i="3"/>
  <c r="AA17" i="3"/>
  <c r="AB140" i="3"/>
  <c r="AB135" i="3"/>
  <c r="AB157" i="3"/>
  <c r="AN42" i="20"/>
  <c r="AB103" i="3"/>
  <c r="AB120" i="3"/>
  <c r="AB175" i="3"/>
  <c r="L183" i="10"/>
  <c r="Z177" i="3"/>
  <c r="L186" i="10"/>
  <c r="Z41" i="3"/>
  <c r="AB148" i="3"/>
  <c r="L157" i="10"/>
  <c r="AA165" i="3"/>
  <c r="L176" i="10"/>
  <c r="Z45" i="3"/>
  <c r="Z123" i="3"/>
  <c r="Z127" i="3"/>
  <c r="K125" i="11"/>
  <c r="L125" i="11"/>
  <c r="K100" i="11"/>
  <c r="K170" i="11"/>
  <c r="K22" i="11"/>
  <c r="K33" i="11"/>
  <c r="L33" i="11"/>
  <c r="AD151" i="3"/>
  <c r="K111" i="11"/>
  <c r="K138" i="11"/>
  <c r="K123" i="11"/>
  <c r="K43" i="11"/>
  <c r="K38" i="11"/>
  <c r="K33" i="10"/>
  <c r="K84" i="10"/>
  <c r="AN24" i="20"/>
  <c r="K153" i="10"/>
  <c r="K91" i="10"/>
  <c r="AN16" i="20"/>
  <c r="K77" i="10"/>
  <c r="AF24" i="20"/>
  <c r="K91" i="9"/>
  <c r="K84" i="9"/>
  <c r="K77" i="9"/>
  <c r="K97" i="9"/>
  <c r="K155" i="9"/>
  <c r="W143" i="3"/>
  <c r="X103" i="3"/>
  <c r="K115" i="9"/>
  <c r="K152" i="9"/>
  <c r="X140" i="3"/>
  <c r="K156" i="9"/>
  <c r="X144" i="3"/>
  <c r="K174" i="9"/>
  <c r="X161" i="3"/>
  <c r="W29" i="3"/>
  <c r="K42" i="9"/>
  <c r="K129" i="9"/>
  <c r="AF38" i="20"/>
  <c r="K165" i="9"/>
  <c r="X153" i="3"/>
  <c r="X56" i="3"/>
  <c r="K37" i="9"/>
  <c r="K41" i="9"/>
  <c r="X43" i="3"/>
  <c r="K136" i="9"/>
  <c r="K14" i="9"/>
  <c r="W17" i="3"/>
  <c r="AN47" i="20"/>
  <c r="AF14" i="20"/>
  <c r="K37" i="8"/>
  <c r="K129" i="8"/>
  <c r="T120" i="3"/>
  <c r="K159" i="8"/>
  <c r="K136" i="8"/>
  <c r="R127" i="3"/>
  <c r="S29" i="3"/>
  <c r="R151" i="3"/>
  <c r="K156" i="8"/>
  <c r="T144" i="3"/>
  <c r="K42" i="8"/>
  <c r="K115" i="8"/>
  <c r="T107" i="3"/>
  <c r="T30" i="3"/>
  <c r="K155" i="8"/>
  <c r="S143" i="3"/>
  <c r="K174" i="8"/>
  <c r="T161" i="3"/>
  <c r="K170" i="8"/>
  <c r="K123" i="8"/>
  <c r="K33" i="8"/>
  <c r="K43" i="8"/>
  <c r="K111" i="8"/>
  <c r="K138" i="8"/>
  <c r="K10" i="8"/>
  <c r="K123" i="9"/>
  <c r="K22" i="10"/>
  <c r="K170" i="10"/>
  <c r="K123" i="10"/>
  <c r="AN26" i="20"/>
  <c r="AN14" i="20"/>
  <c r="K111" i="10"/>
  <c r="AN31" i="20"/>
  <c r="K125" i="10"/>
  <c r="Z118" i="3"/>
  <c r="K138" i="10"/>
  <c r="AB129" i="3"/>
  <c r="K161" i="10"/>
  <c r="K43" i="9"/>
  <c r="K111" i="9"/>
  <c r="K138" i="9"/>
  <c r="X129" i="3"/>
  <c r="K161" i="9"/>
  <c r="K38" i="8"/>
  <c r="S42" i="3"/>
  <c r="K125" i="8"/>
  <c r="S65" i="3"/>
  <c r="K100" i="8"/>
  <c r="K153" i="8"/>
  <c r="K125" i="9"/>
  <c r="K33" i="9"/>
  <c r="AF31" i="20"/>
  <c r="K10" i="9"/>
  <c r="K38" i="9"/>
  <c r="W42" i="3"/>
  <c r="K148" i="9"/>
  <c r="K153" i="9"/>
  <c r="K170" i="9"/>
  <c r="L88" i="3"/>
  <c r="L84" i="3"/>
  <c r="L80" i="3"/>
  <c r="K91" i="7"/>
  <c r="L89" i="7"/>
  <c r="K84" i="7"/>
  <c r="K77" i="7"/>
  <c r="P24" i="20"/>
  <c r="P30" i="3"/>
  <c r="O29" i="3"/>
  <c r="O25" i="3"/>
  <c r="N24" i="3"/>
  <c r="O21" i="3"/>
  <c r="P18" i="3"/>
  <c r="L185" i="3"/>
  <c r="K184" i="3"/>
  <c r="L179" i="3"/>
  <c r="K178" i="3"/>
  <c r="J185" i="6"/>
  <c r="K185" i="6"/>
  <c r="K174" i="3"/>
  <c r="L170" i="3"/>
  <c r="K169" i="3"/>
  <c r="J168" i="3"/>
  <c r="L166" i="3"/>
  <c r="J164" i="3"/>
  <c r="J173" i="6"/>
  <c r="K173" i="6"/>
  <c r="L161" i="3"/>
  <c r="K160" i="3"/>
  <c r="J171" i="6"/>
  <c r="K156" i="3"/>
  <c r="J164" i="6"/>
  <c r="K164" i="6"/>
  <c r="L153" i="3"/>
  <c r="K152" i="3"/>
  <c r="J162" i="6"/>
  <c r="J161" i="6"/>
  <c r="J160" i="6"/>
  <c r="J158" i="6"/>
  <c r="K158" i="6"/>
  <c r="K147" i="3"/>
  <c r="J146" i="3"/>
  <c r="J155" i="6"/>
  <c r="K155" i="6"/>
  <c r="L144" i="3"/>
  <c r="J154" i="6"/>
  <c r="K154" i="6"/>
  <c r="K143" i="3"/>
  <c r="J153" i="6"/>
  <c r="K139" i="3"/>
  <c r="K134" i="3"/>
  <c r="K128" i="3"/>
  <c r="J135" i="6"/>
  <c r="K135" i="6"/>
  <c r="K124" i="3"/>
  <c r="K119" i="3"/>
  <c r="J123" i="6"/>
  <c r="K115" i="3"/>
  <c r="J114" i="3"/>
  <c r="J119" i="6"/>
  <c r="K111" i="3"/>
  <c r="J110" i="3"/>
  <c r="J115" i="6"/>
  <c r="K115" i="6"/>
  <c r="J113" i="6"/>
  <c r="J112" i="6"/>
  <c r="J111" i="6"/>
  <c r="L97" i="3"/>
  <c r="K96" i="3"/>
  <c r="J101" i="6"/>
  <c r="J100" i="6"/>
  <c r="L93" i="3"/>
  <c r="K92" i="3"/>
  <c r="J85" i="6"/>
  <c r="K85" i="6"/>
  <c r="K83" i="3"/>
  <c r="J84" i="6"/>
  <c r="K84" i="6"/>
  <c r="J79" i="6"/>
  <c r="K79" i="6"/>
  <c r="J78" i="6"/>
  <c r="K78" i="6"/>
  <c r="J77" i="6"/>
  <c r="J76" i="6"/>
  <c r="J75" i="6"/>
  <c r="J74" i="6"/>
  <c r="J73" i="6"/>
  <c r="K73" i="6"/>
  <c r="K75" i="3"/>
  <c r="J72" i="6"/>
  <c r="K72" i="6"/>
  <c r="L71" i="3"/>
  <c r="L66" i="3"/>
  <c r="K60" i="3"/>
  <c r="L56" i="3"/>
  <c r="J51" i="6"/>
  <c r="K51" i="6"/>
  <c r="J45" i="6"/>
  <c r="K45" i="6"/>
  <c r="L43" i="3"/>
  <c r="J43" i="6"/>
  <c r="J42" i="6"/>
  <c r="J41" i="6"/>
  <c r="K41" i="6"/>
  <c r="J40" i="6"/>
  <c r="K40" i="6"/>
  <c r="L39" i="3"/>
  <c r="J39" i="6"/>
  <c r="K39" i="6"/>
  <c r="K38" i="3"/>
  <c r="J38" i="6"/>
  <c r="J37" i="6"/>
  <c r="J36" i="6"/>
  <c r="K36" i="6"/>
  <c r="L35" i="3"/>
  <c r="J35" i="6"/>
  <c r="K35" i="6"/>
  <c r="J34" i="6"/>
  <c r="J33" i="6"/>
  <c r="J32" i="6"/>
  <c r="J30" i="6"/>
  <c r="K30" i="6"/>
  <c r="J29" i="6"/>
  <c r="K29" i="6"/>
  <c r="K29" i="3"/>
  <c r="J27" i="6"/>
  <c r="J26" i="6"/>
  <c r="J24" i="6"/>
  <c r="K24" i="6"/>
  <c r="J23" i="6"/>
  <c r="J22" i="6"/>
  <c r="J21" i="6"/>
  <c r="J20" i="6"/>
  <c r="J19" i="6"/>
  <c r="L22" i="3"/>
  <c r="L18" i="3"/>
  <c r="F91" i="8"/>
  <c r="F84" i="8"/>
  <c r="F77" i="8"/>
  <c r="G14" i="8"/>
  <c r="J14" i="8"/>
  <c r="F91" i="7"/>
  <c r="F84" i="7"/>
  <c r="F77" i="7"/>
  <c r="F70" i="7"/>
  <c r="G14" i="7"/>
  <c r="J14" i="7"/>
  <c r="K14" i="7"/>
  <c r="AF26" i="20"/>
  <c r="S55" i="3"/>
  <c r="X30" i="3"/>
  <c r="L10" i="7"/>
  <c r="AV16" i="20"/>
  <c r="R95" i="3"/>
  <c r="L100" i="8"/>
  <c r="W55" i="3"/>
  <c r="AF16" i="20"/>
  <c r="AD95" i="3"/>
  <c r="L100" i="11"/>
  <c r="AD183" i="3"/>
  <c r="L191" i="11"/>
  <c r="L124" i="6"/>
  <c r="AD159" i="3"/>
  <c r="L170" i="11"/>
  <c r="AD155" i="3"/>
  <c r="AV40" i="20"/>
  <c r="L166" i="11"/>
  <c r="AD133" i="3"/>
  <c r="AV36" i="20"/>
  <c r="L143" i="11"/>
  <c r="AF129" i="3"/>
  <c r="L136" i="11"/>
  <c r="AF125" i="3"/>
  <c r="AV33" i="20"/>
  <c r="L131" i="11"/>
  <c r="AD118" i="3"/>
  <c r="AE118" i="3"/>
  <c r="AF116" i="3"/>
  <c r="L121" i="11"/>
  <c r="AD105" i="3"/>
  <c r="L111" i="11"/>
  <c r="AD101" i="3"/>
  <c r="AV29" i="20"/>
  <c r="L106" i="11"/>
  <c r="AE65" i="3"/>
  <c r="AD64" i="3"/>
  <c r="L57" i="11"/>
  <c r="AE42" i="3"/>
  <c r="L37" i="11"/>
  <c r="AE46" i="3"/>
  <c r="L42" i="11"/>
  <c r="AD33" i="3"/>
  <c r="AV14" i="20"/>
  <c r="L28" i="11"/>
  <c r="AD16" i="3"/>
  <c r="L10" i="11"/>
  <c r="L125" i="10"/>
  <c r="AB116" i="3"/>
  <c r="L121" i="10"/>
  <c r="Z101" i="3"/>
  <c r="AN29" i="20"/>
  <c r="L106" i="10"/>
  <c r="V123" i="3"/>
  <c r="AF47" i="20"/>
  <c r="L191" i="9"/>
  <c r="X157" i="3"/>
  <c r="AF40" i="20"/>
  <c r="X135" i="3"/>
  <c r="AF36" i="20"/>
  <c r="X125" i="3"/>
  <c r="AF33" i="20"/>
  <c r="X107" i="3"/>
  <c r="AF29" i="20"/>
  <c r="W65" i="3"/>
  <c r="AF20" i="20"/>
  <c r="R159" i="3"/>
  <c r="L170" i="8"/>
  <c r="T157" i="3"/>
  <c r="R155" i="3"/>
  <c r="L166" i="8"/>
  <c r="T148" i="3"/>
  <c r="L157" i="8"/>
  <c r="R142" i="3"/>
  <c r="L153" i="8"/>
  <c r="T140" i="3"/>
  <c r="R138" i="3"/>
  <c r="L148" i="8"/>
  <c r="T135" i="3"/>
  <c r="R133" i="3"/>
  <c r="L143" i="8"/>
  <c r="T129" i="3"/>
  <c r="L136" i="8"/>
  <c r="T125" i="3"/>
  <c r="R123" i="3"/>
  <c r="L131" i="8"/>
  <c r="R118" i="3"/>
  <c r="L125" i="8"/>
  <c r="T116" i="3"/>
  <c r="L121" i="8"/>
  <c r="T112" i="3"/>
  <c r="X31" i="20"/>
  <c r="L117" i="8"/>
  <c r="R105" i="3"/>
  <c r="L111" i="8"/>
  <c r="T103" i="3"/>
  <c r="R101" i="3"/>
  <c r="L106" i="8"/>
  <c r="R91" i="3"/>
  <c r="X26" i="20"/>
  <c r="L97" i="8"/>
  <c r="X24" i="20"/>
  <c r="R64" i="3"/>
  <c r="X20" i="20"/>
  <c r="L57" i="8"/>
  <c r="R54" i="3"/>
  <c r="X16" i="20"/>
  <c r="L49" i="8"/>
  <c r="R37" i="3"/>
  <c r="L33" i="8"/>
  <c r="R33" i="3"/>
  <c r="X14" i="20"/>
  <c r="L28" i="8"/>
  <c r="R16" i="3"/>
  <c r="P29" i="20"/>
  <c r="L90" i="6"/>
  <c r="J82" i="3"/>
  <c r="L84" i="6"/>
  <c r="J78" i="3"/>
  <c r="L78" i="6"/>
  <c r="K79" i="3"/>
  <c r="J74" i="3"/>
  <c r="K74" i="6"/>
  <c r="L140" i="3"/>
  <c r="J86" i="3"/>
  <c r="L61" i="3"/>
  <c r="L135" i="3"/>
  <c r="H18" i="20"/>
  <c r="L157" i="3"/>
  <c r="L175" i="3"/>
  <c r="H44" i="20"/>
  <c r="K87" i="3"/>
  <c r="K70" i="3"/>
  <c r="H26" i="20"/>
  <c r="K55" i="3"/>
  <c r="H16" i="20"/>
  <c r="AN36" i="20"/>
  <c r="AN38" i="20"/>
  <c r="AA65" i="3"/>
  <c r="AN20" i="20"/>
  <c r="AN12" i="20"/>
  <c r="AB125" i="3"/>
  <c r="AN33" i="20"/>
  <c r="AN40" i="20"/>
  <c r="X112" i="3"/>
  <c r="L117" i="9"/>
  <c r="V133" i="3"/>
  <c r="L143" i="9"/>
  <c r="L131" i="9"/>
  <c r="X84" i="3"/>
  <c r="L82" i="9"/>
  <c r="V138" i="3"/>
  <c r="L148" i="9"/>
  <c r="V151" i="3"/>
  <c r="L161" i="9"/>
  <c r="V16" i="3"/>
  <c r="L10" i="9"/>
  <c r="V101" i="3"/>
  <c r="L106" i="9"/>
  <c r="X148" i="3"/>
  <c r="L157" i="9"/>
  <c r="V91" i="3"/>
  <c r="L97" i="9"/>
  <c r="X88" i="3"/>
  <c r="L89" i="9"/>
  <c r="V155" i="3"/>
  <c r="L166" i="9"/>
  <c r="V118" i="3"/>
  <c r="L125" i="9"/>
  <c r="V105" i="3"/>
  <c r="L111" i="9"/>
  <c r="X116" i="3"/>
  <c r="L121" i="9"/>
  <c r="V33" i="3"/>
  <c r="L28" i="9"/>
  <c r="X80" i="3"/>
  <c r="L75" i="9"/>
  <c r="V183" i="3"/>
  <c r="V159" i="3"/>
  <c r="L170" i="9"/>
  <c r="V142" i="3"/>
  <c r="L153" i="9"/>
  <c r="V95" i="3"/>
  <c r="L100" i="9"/>
  <c r="V37" i="3"/>
  <c r="L33" i="9"/>
  <c r="V64" i="3"/>
  <c r="L57" i="9"/>
  <c r="V127" i="3"/>
  <c r="L136" i="9"/>
  <c r="X120" i="3"/>
  <c r="V54" i="3"/>
  <c r="L49" i="9"/>
  <c r="X76" i="3"/>
  <c r="L68" i="9"/>
  <c r="J173" i="3"/>
  <c r="L182" i="6"/>
  <c r="K25" i="3"/>
  <c r="J177" i="3"/>
  <c r="L185" i="6"/>
  <c r="W46" i="3"/>
  <c r="AA46" i="3"/>
  <c r="S46" i="3"/>
  <c r="N101" i="3"/>
  <c r="L75" i="7"/>
  <c r="K165" i="3"/>
  <c r="H42" i="20"/>
  <c r="L175" i="6"/>
  <c r="L148" i="3"/>
  <c r="L156" i="6"/>
  <c r="J123" i="3"/>
  <c r="J127" i="3"/>
  <c r="L125" i="3"/>
  <c r="J59" i="3"/>
  <c r="L57" i="6"/>
  <c r="J54" i="3"/>
  <c r="L53" i="6"/>
  <c r="J91" i="3"/>
  <c r="L97" i="6"/>
  <c r="L30" i="3"/>
  <c r="L131" i="10"/>
  <c r="R45" i="3"/>
  <c r="L42" i="8"/>
  <c r="P84" i="3"/>
  <c r="L82" i="7"/>
  <c r="V41" i="3"/>
  <c r="L37" i="9"/>
  <c r="L47" i="3"/>
  <c r="V45" i="3"/>
  <c r="L42" i="9"/>
  <c r="R41" i="3"/>
  <c r="L37" i="8"/>
  <c r="J41" i="3"/>
  <c r="J45" i="3"/>
  <c r="J49" i="3"/>
  <c r="L51" i="6"/>
  <c r="P76" i="3"/>
  <c r="L68" i="7"/>
  <c r="AD28" i="3"/>
  <c r="L22" i="11"/>
  <c r="V28" i="3"/>
  <c r="L22" i="9"/>
  <c r="R28" i="3"/>
  <c r="L22" i="8"/>
  <c r="Z138" i="3"/>
  <c r="L148" i="10"/>
  <c r="AB112" i="3"/>
  <c r="L117" i="10"/>
  <c r="Z33" i="3"/>
  <c r="L28" i="10"/>
  <c r="Z105" i="3"/>
  <c r="L111" i="10"/>
  <c r="Z133" i="3"/>
  <c r="L143" i="10"/>
  <c r="Z16" i="3"/>
  <c r="L10" i="10"/>
  <c r="Z151" i="3"/>
  <c r="L161" i="10"/>
  <c r="Z64" i="3"/>
  <c r="L57" i="10"/>
  <c r="Z95" i="3"/>
  <c r="L100" i="10"/>
  <c r="Z159" i="3"/>
  <c r="L170" i="10"/>
  <c r="Z183" i="3"/>
  <c r="L191" i="10"/>
  <c r="Z54" i="3"/>
  <c r="L49" i="10"/>
  <c r="AB84" i="3"/>
  <c r="L82" i="10"/>
  <c r="L136" i="10"/>
  <c r="L42" i="10"/>
  <c r="AB88" i="3"/>
  <c r="L89" i="10"/>
  <c r="Z37" i="3"/>
  <c r="L33" i="10"/>
  <c r="Z28" i="3"/>
  <c r="L22" i="10"/>
  <c r="Z142" i="3"/>
  <c r="L153" i="10"/>
  <c r="Z69" i="3"/>
  <c r="L64" i="10"/>
  <c r="L37" i="10"/>
  <c r="Z155" i="3"/>
  <c r="L166" i="10"/>
  <c r="AB80" i="3"/>
  <c r="L75" i="10"/>
  <c r="AB76" i="3"/>
  <c r="L68" i="10"/>
  <c r="S140" i="3"/>
  <c r="N54" i="3"/>
  <c r="O17" i="3"/>
  <c r="K14" i="8"/>
  <c r="P88" i="3"/>
  <c r="O128" i="3"/>
  <c r="P80" i="3"/>
  <c r="O160" i="3"/>
  <c r="N20" i="3"/>
  <c r="P22" i="3"/>
  <c r="O115" i="3"/>
  <c r="O124" i="3"/>
  <c r="O152" i="3"/>
  <c r="O156" i="3"/>
  <c r="P170" i="3"/>
  <c r="N177" i="3"/>
  <c r="O184" i="3"/>
  <c r="P35" i="3"/>
  <c r="P39" i="3"/>
  <c r="O102" i="3"/>
  <c r="O111" i="3"/>
  <c r="K123" i="7"/>
  <c r="O119" i="3"/>
  <c r="P166" i="3"/>
  <c r="O178" i="3"/>
  <c r="P185" i="3"/>
  <c r="N173" i="3"/>
  <c r="O38" i="3"/>
  <c r="N110" i="3"/>
  <c r="O139" i="3"/>
  <c r="O165" i="3"/>
  <c r="N168" i="3"/>
  <c r="O174" i="3"/>
  <c r="P179" i="3"/>
  <c r="N114" i="3"/>
  <c r="O34" i="3"/>
  <c r="O106" i="3"/>
  <c r="K115" i="7"/>
  <c r="P107" i="3"/>
  <c r="O134" i="3"/>
  <c r="N164" i="3"/>
  <c r="O169" i="3"/>
  <c r="P175" i="3"/>
  <c r="K136" i="7"/>
  <c r="K155" i="7"/>
  <c r="O143" i="3"/>
  <c r="K159" i="7"/>
  <c r="K156" i="7"/>
  <c r="P144" i="3"/>
  <c r="K165" i="7"/>
  <c r="P153" i="3"/>
  <c r="K174" i="7"/>
  <c r="P161" i="3"/>
  <c r="K37" i="7"/>
  <c r="K41" i="7"/>
  <c r="P43" i="3"/>
  <c r="K42" i="7"/>
  <c r="K33" i="7"/>
  <c r="K119" i="7"/>
  <c r="K111" i="7"/>
  <c r="O65" i="3"/>
  <c r="N16" i="3"/>
  <c r="K19" i="6"/>
  <c r="J17" i="6"/>
  <c r="K17" i="6"/>
  <c r="P14" i="20"/>
  <c r="P38" i="20"/>
  <c r="K153" i="7"/>
  <c r="K170" i="7"/>
  <c r="K138" i="7"/>
  <c r="P129" i="3"/>
  <c r="K38" i="7"/>
  <c r="O42" i="3"/>
  <c r="K43" i="7"/>
  <c r="K161" i="7"/>
  <c r="J20" i="3"/>
  <c r="K100" i="6"/>
  <c r="K152" i="6"/>
  <c r="K137" i="6"/>
  <c r="L129" i="3"/>
  <c r="K169" i="6"/>
  <c r="K111" i="6"/>
  <c r="L111" i="6"/>
  <c r="K160" i="6"/>
  <c r="K119" i="6"/>
  <c r="K122" i="6"/>
  <c r="K37" i="6"/>
  <c r="K32" i="6"/>
  <c r="K26" i="6"/>
  <c r="K42" i="6"/>
  <c r="K42" i="3"/>
  <c r="Q12" i="3"/>
  <c r="U12" i="3"/>
  <c r="Y12" i="3"/>
  <c r="AC12" i="3"/>
  <c r="AG12" i="3"/>
  <c r="AK12" i="3"/>
  <c r="M12" i="3"/>
  <c r="AF12" i="20"/>
  <c r="K46" i="3"/>
  <c r="H14" i="20"/>
  <c r="K17" i="3"/>
  <c r="H12" i="20"/>
  <c r="AV20" i="20"/>
  <c r="AD191" i="3"/>
  <c r="AV12" i="20"/>
  <c r="X47" i="20"/>
  <c r="L191" i="8"/>
  <c r="R183" i="3"/>
  <c r="R191" i="3"/>
  <c r="X40" i="20"/>
  <c r="X38" i="20"/>
  <c r="X36" i="20"/>
  <c r="X33" i="20"/>
  <c r="S17" i="3"/>
  <c r="S191" i="3"/>
  <c r="L10" i="8"/>
  <c r="X29" i="20"/>
  <c r="P103" i="3"/>
  <c r="P20" i="20"/>
  <c r="H24" i="20"/>
  <c r="L72" i="6"/>
  <c r="H31" i="20"/>
  <c r="H22" i="20"/>
  <c r="L130" i="6"/>
  <c r="H33" i="20"/>
  <c r="P140" i="3"/>
  <c r="P135" i="3"/>
  <c r="P47" i="20"/>
  <c r="L100" i="7"/>
  <c r="P26" i="20"/>
  <c r="P12" i="20"/>
  <c r="P36" i="20"/>
  <c r="P157" i="3"/>
  <c r="P56" i="3"/>
  <c r="O55" i="3"/>
  <c r="P125" i="3"/>
  <c r="P40" i="20"/>
  <c r="P33" i="20"/>
  <c r="K65" i="3"/>
  <c r="P31" i="20"/>
  <c r="J183" i="3"/>
  <c r="H47" i="20"/>
  <c r="L190" i="6"/>
  <c r="N118" i="3"/>
  <c r="L125" i="7"/>
  <c r="P120" i="3"/>
  <c r="P116" i="3"/>
  <c r="L121" i="7"/>
  <c r="L106" i="7"/>
  <c r="O46" i="3"/>
  <c r="J151" i="3"/>
  <c r="L160" i="6"/>
  <c r="J155" i="3"/>
  <c r="L165" i="6"/>
  <c r="J159" i="3"/>
  <c r="L169" i="6"/>
  <c r="J142" i="3"/>
  <c r="L152" i="6"/>
  <c r="J138" i="3"/>
  <c r="H38" i="20"/>
  <c r="L147" i="6"/>
  <c r="J133" i="3"/>
  <c r="H36" i="20"/>
  <c r="L142" i="6"/>
  <c r="L135" i="6"/>
  <c r="L112" i="3"/>
  <c r="L117" i="6"/>
  <c r="L116" i="3"/>
  <c r="L120" i="6"/>
  <c r="H29" i="20"/>
  <c r="L106" i="6"/>
  <c r="J95" i="3"/>
  <c r="L100" i="6"/>
  <c r="L76" i="3"/>
  <c r="L191" i="3"/>
  <c r="J64" i="3"/>
  <c r="L61" i="6"/>
  <c r="J69" i="3"/>
  <c r="L67" i="6"/>
  <c r="J16" i="3"/>
  <c r="L10" i="6"/>
  <c r="J24" i="3"/>
  <c r="L19" i="6"/>
  <c r="K21" i="3"/>
  <c r="L16" i="6"/>
  <c r="N159" i="3"/>
  <c r="L170" i="7"/>
  <c r="P112" i="3"/>
  <c r="L117" i="7"/>
  <c r="N183" i="3"/>
  <c r="L191" i="7"/>
  <c r="J33" i="3"/>
  <c r="L32" i="6"/>
  <c r="N138" i="3"/>
  <c r="L148" i="7"/>
  <c r="N105" i="3"/>
  <c r="L111" i="7"/>
  <c r="N127" i="3"/>
  <c r="L136" i="7"/>
  <c r="L46" i="6"/>
  <c r="P148" i="3"/>
  <c r="L157" i="7"/>
  <c r="N155" i="3"/>
  <c r="L166" i="7"/>
  <c r="L41" i="6"/>
  <c r="N151" i="3"/>
  <c r="L161" i="7"/>
  <c r="J37" i="3"/>
  <c r="L37" i="6"/>
  <c r="N123" i="3"/>
  <c r="L131" i="7"/>
  <c r="N142" i="3"/>
  <c r="L153" i="7"/>
  <c r="N133" i="3"/>
  <c r="L143" i="7"/>
  <c r="J28" i="3"/>
  <c r="L26" i="6"/>
  <c r="N33" i="3"/>
  <c r="L28" i="7"/>
  <c r="N41" i="3"/>
  <c r="L37" i="7"/>
  <c r="N28" i="3"/>
  <c r="L22" i="7"/>
  <c r="N45" i="3"/>
  <c r="L42" i="7"/>
  <c r="L49" i="7"/>
  <c r="N64" i="3"/>
  <c r="L57" i="7"/>
  <c r="N37" i="3"/>
  <c r="L33" i="7"/>
  <c r="X191" i="3"/>
  <c r="W191" i="3"/>
  <c r="V191" i="3"/>
  <c r="AJ191" i="3"/>
  <c r="AI191" i="3"/>
  <c r="AH191" i="3"/>
  <c r="AF191" i="3"/>
  <c r="AE191" i="3"/>
  <c r="T191" i="3"/>
  <c r="AB191" i="3"/>
  <c r="AA191" i="3"/>
  <c r="Z191" i="3"/>
  <c r="X12" i="20"/>
  <c r="I10" i="35"/>
  <c r="I8" i="35"/>
  <c r="I9" i="35"/>
  <c r="I7" i="35"/>
  <c r="K191" i="3"/>
  <c r="P16" i="20"/>
  <c r="O191" i="3"/>
  <c r="H20" i="20"/>
  <c r="H40" i="20"/>
  <c r="J191" i="3"/>
  <c r="P191" i="3"/>
  <c r="N191" i="3"/>
  <c r="M72" i="5"/>
  <c r="M73" i="5"/>
  <c r="M74" i="5"/>
  <c r="L45" i="5"/>
  <c r="L47" i="5"/>
  <c r="L48" i="5"/>
  <c r="M45" i="5"/>
  <c r="M47" i="5"/>
  <c r="M46" i="5"/>
  <c r="L46" i="5"/>
  <c r="X59" i="20"/>
  <c r="AN59" i="20"/>
  <c r="AF59" i="20"/>
  <c r="AV53" i="20"/>
  <c r="K10" i="35"/>
  <c r="AN56" i="20"/>
  <c r="AN53" i="20"/>
  <c r="K9" i="35"/>
  <c r="I5" i="35"/>
  <c r="AV56" i="20"/>
  <c r="AV59" i="20"/>
  <c r="AF53" i="20"/>
  <c r="K8" i="35"/>
  <c r="AF56" i="20"/>
  <c r="X53" i="20"/>
  <c r="K7" i="35"/>
  <c r="X56" i="20"/>
  <c r="I6" i="35"/>
  <c r="R17" i="5"/>
  <c r="R18" i="5"/>
  <c r="R19" i="5"/>
  <c r="R20" i="5"/>
  <c r="C7" i="5"/>
  <c r="R21" i="5"/>
  <c r="R22" i="5"/>
  <c r="R24" i="5"/>
  <c r="K7" i="5"/>
  <c r="J8" i="5"/>
  <c r="J10" i="5"/>
  <c r="J11" i="5"/>
  <c r="K10" i="5"/>
  <c r="K11" i="5"/>
  <c r="J12" i="5"/>
  <c r="J18" i="5"/>
  <c r="H7" i="5"/>
  <c r="G8" i="5"/>
  <c r="G10" i="5"/>
  <c r="G11" i="5"/>
  <c r="H10" i="5"/>
  <c r="H11" i="5"/>
  <c r="G12" i="5"/>
  <c r="J17" i="5"/>
  <c r="M18" i="5"/>
  <c r="M17" i="5"/>
  <c r="H59" i="20"/>
  <c r="H56" i="20"/>
  <c r="H53" i="20"/>
  <c r="K5" i="35"/>
  <c r="P56" i="20"/>
  <c r="P59" i="20"/>
  <c r="P53" i="20"/>
  <c r="K6" i="35"/>
  <c r="N18" i="5"/>
  <c r="O18" i="5"/>
  <c r="P18" i="5"/>
  <c r="N17" i="5"/>
  <c r="O17" i="5"/>
  <c r="P17" i="5"/>
  <c r="B18" i="5"/>
  <c r="C11" i="5"/>
  <c r="C12" i="5"/>
  <c r="B9" i="5"/>
  <c r="AK11" i="3"/>
  <c r="AK10" i="3"/>
</calcChain>
</file>

<file path=xl/sharedStrings.xml><?xml version="1.0" encoding="utf-8"?>
<sst xmlns="http://schemas.openxmlformats.org/spreadsheetml/2006/main" count="5725" uniqueCount="770">
  <si>
    <t>Heating</t>
  </si>
  <si>
    <t>Condenser water connection to tenant AHU which includes a heat pump. Freeze protection will be required for unleased space</t>
  </si>
  <si>
    <t>Steam connection from base buildings service. Service metered by landlord</t>
  </si>
  <si>
    <t>Tenant provides boiler themselves: Needs gas service connection, combustion air make-up, and boiler flue.</t>
  </si>
  <si>
    <t>Cooling</t>
  </si>
  <si>
    <t>a</t>
  </si>
  <si>
    <t>b</t>
  </si>
  <si>
    <t>c</t>
  </si>
  <si>
    <t>d</t>
  </si>
  <si>
    <t>Base building provides condenser water with heat pump. Loop includes cooling tower. Potential electric service upgrade</t>
  </si>
  <si>
    <t xml:space="preserve">DX cooling system that includes a refrigerant cooling coil and an external rooftop condenser unit, refrigerant piping and electric conduit. </t>
  </si>
  <si>
    <t>e</t>
  </si>
  <si>
    <t>Questions</t>
  </si>
  <si>
    <t>Air intakes and exhaust that connect to tenant AHU in ceiling, roof above retail unit, or in a space in the rear of retail unit.</t>
  </si>
  <si>
    <t>Air-Side Economizers</t>
  </si>
  <si>
    <t>5000 cfm (1cfm/sf for all retail space)</t>
  </si>
  <si>
    <t>Exhaust Air</t>
  </si>
  <si>
    <t xml:space="preserve">Exhaust air duct vent and fans. </t>
  </si>
  <si>
    <t>Kitchen Exhaust</t>
  </si>
  <si>
    <t>Tenant owned, ceiling-mounted, single or two zone in retail space with louvered connections to outside. Independent controlled exhaust fans for bathrooms. For retail space less than 4000sf</t>
  </si>
  <si>
    <t xml:space="preserve">Tenant owned, ceiling-mounted, single or two zone in retail space with connection to outside at roof level or in rear yard. Ducts will serve multiple retail units. Independent controlled exhaust fans for bathrooms. Additional space required for ducts to run through residential space. </t>
  </si>
  <si>
    <t>Tenant owned, roof mounted, multi-zone AHU above retail unit. Outside air connections are made directly into the AHU.</t>
  </si>
  <si>
    <t>Intakes and Exhaust</t>
  </si>
  <si>
    <t>Rule of thumb</t>
  </si>
  <si>
    <t>Tenant Air Handling System connection to base building heat source. Needs freeze protection for unleased space</t>
  </si>
  <si>
    <t>Single or multi zone AHU mounted in mechanical room to rear of the retail space or above a storage space. Fresh air intake from rear yard or roof</t>
  </si>
  <si>
    <t>Intake and Exhaust louvers in the street face of retail unit. If cooling option 3C is in use, additional louver area will be required</t>
  </si>
  <si>
    <t>Intake and Exhaust at roof level, serving multiple retail units</t>
  </si>
  <si>
    <t>Mechanical</t>
  </si>
  <si>
    <t>Connect tenants AHU to base building chiller or heat pump, which includes chilled-water coil. Chiller/heat pump needs to be sized appropriately</t>
  </si>
  <si>
    <t>VRF Cooling System (Variable Refrigerant Flow), assuming building has a refrigerant system available. Provide a connection point for refrigeration to tenants AHU that includes a VRF Cooling Coil.</t>
  </si>
  <si>
    <t>DX cooling system integrated in tenant ceiling mounted AHU including a refrigerant cooling coil, with condenser section separately ducted to the outside</t>
  </si>
  <si>
    <t xml:space="preserve">Ventilation </t>
  </si>
  <si>
    <t>Air-Handling Units</t>
  </si>
  <si>
    <t>Separate metering for electricity by utility</t>
  </si>
  <si>
    <t>Dedicated Con Edison service to retail space, or from a dedicated service switch from base building. Install wire, conduit, excavations, and any Con Ed costs</t>
  </si>
  <si>
    <t>Connect retail units to base building electrical service and provide sub-meter. Install all conduit, wire, excavation, and Con Ed Costs.</t>
  </si>
  <si>
    <t>Emergency Power</t>
  </si>
  <si>
    <t>Fire Alarm</t>
  </si>
  <si>
    <t>Emergency lights and signage; provided by tenant</t>
  </si>
  <si>
    <t>Tenant provides fire alarm system, developer provides telephone line</t>
  </si>
  <si>
    <t>When fire alarm system is required; developer provides a signaling line circuit from base building to retail space</t>
  </si>
  <si>
    <t>Domestic Water</t>
  </si>
  <si>
    <t>Hot Water</t>
  </si>
  <si>
    <t>Sanitary Waste and Vent</t>
  </si>
  <si>
    <t>Grease Waste</t>
  </si>
  <si>
    <t>Gas</t>
  </si>
  <si>
    <t xml:space="preserve">Wet Sprinkler System </t>
  </si>
  <si>
    <t xml:space="preserve">Standpipe System </t>
  </si>
  <si>
    <t>Provide each retail space with a domestic water sub-meter with a valve and capped connection. Quantity of sub-meters is relative to building code</t>
  </si>
  <si>
    <t xml:space="preserve">Provide capped waste pipe in a pre-set location for tenant to connect to and capped vent system connection </t>
  </si>
  <si>
    <t xml:space="preserve">Provide capped waste pipe in trench and capped vent system connection </t>
  </si>
  <si>
    <t>Provide centralized grease interceptor within sewer line</t>
  </si>
  <si>
    <t>Plumbing</t>
  </si>
  <si>
    <t>Fire Protection Systems</t>
  </si>
  <si>
    <t>Capped and valved gas connection in retail space.</t>
  </si>
  <si>
    <t xml:space="preserve">Gas piping back to the meter room </t>
  </si>
  <si>
    <t>Independent floor control assembly</t>
  </si>
  <si>
    <t>Hot water system 2: Building provides Mechanical room with storage water heater for retail space</t>
  </si>
  <si>
    <t xml:space="preserve">Hot water system 3: Provide instantaneous water heaters in restrooms or various applications, under 2gpm </t>
  </si>
  <si>
    <t>Kitchen</t>
  </si>
  <si>
    <t>Laundromat</t>
  </si>
  <si>
    <t>Tenant Use Type</t>
  </si>
  <si>
    <t>Full Service Restaurant</t>
  </si>
  <si>
    <t>Tenant Area (SF)</t>
  </si>
  <si>
    <t>sprinklers</t>
  </si>
  <si>
    <t>Base Building Mechanical System</t>
  </si>
  <si>
    <t xml:space="preserve">Base Building Electrical System </t>
  </si>
  <si>
    <t xml:space="preserve">Base Building Plumbing System </t>
  </si>
  <si>
    <t>Base Building Fire System</t>
  </si>
  <si>
    <t>Description of Tenant Use and Key Requirements</t>
  </si>
  <si>
    <t>Base Building</t>
  </si>
  <si>
    <t>Kitchen / bar / bathrooms etc…</t>
  </si>
  <si>
    <t>50 wash / 50 dry / bathrooms...?</t>
  </si>
  <si>
    <t xml:space="preserve">This is based on number of retail units. Assume 1 per each.  Visual water meter inspection, or Building Management system monitors. Assume visual - Electronic metering of the master metering and they bill the owners.  1 water line for building, riser through building. Tap of riser with sub meter. Need to know how many connections / need to know how many retail units... make assumption based on a single instance of this item.  Meter is fixed cost + Monitoring system </t>
  </si>
  <si>
    <t xml:space="preserve">Hot water system 1: Building provides hot water via tap into base building system </t>
  </si>
  <si>
    <t>Dropped floor slab for flexibility of tenant sewer line</t>
  </si>
  <si>
    <t>Standpipe within retail space</t>
  </si>
  <si>
    <t xml:space="preserve">Gas Stoves in each unit, 1 bathroom per apt, </t>
  </si>
  <si>
    <t>4000 amps, 208Y/120v service, 150kW natural gas generator (life safety only), fire alarm system</t>
  </si>
  <si>
    <t xml:space="preserve"> </t>
  </si>
  <si>
    <t>32VA/sq.ft</t>
  </si>
  <si>
    <t>Laundary Mat</t>
  </si>
  <si>
    <t>Retail</t>
  </si>
  <si>
    <t>15va/sq.ft</t>
  </si>
  <si>
    <t>32va/sq.ft</t>
  </si>
  <si>
    <t xml:space="preserve">This is based upon travel distances and partitions within spaces. Exact quantities cannot be determined. </t>
  </si>
  <si>
    <t>This is based on number of retail units. Assume 1 per each.  There are two fire alarm connections per floor control assembly. Assume, landlord provides temporary sprinklers at 150SF per sprinkler (light hazard occupancy).   Assume 3" floor control assembly.</t>
  </si>
  <si>
    <t>N/A</t>
  </si>
  <si>
    <t>Provide Interceptor</t>
  </si>
  <si>
    <t>Equipped with an interceptor with a wire basket or similar device, removable for cleaning, that prevents passage into the drainage system of solids ½ inch or larger in size, string, rags, buttons or other materials detrimental to the public sewage system.</t>
  </si>
  <si>
    <t xml:space="preserve">Assume 1000CFH connected load. Provide allowance for a gas booster, as ConEd only provides a guaranteed 4”w.c. and some appliances required 8” w.c. </t>
  </si>
  <si>
    <t>Assume landlord install 100' of 3" piping.</t>
  </si>
  <si>
    <t>Building Estimate</t>
  </si>
  <si>
    <t>15 story</t>
  </si>
  <si>
    <t>SF</t>
  </si>
  <si>
    <t>units</t>
  </si>
  <si>
    <t xml:space="preserve">SF </t>
  </si>
  <si>
    <t>Gas load for each unit</t>
  </si>
  <si>
    <t>cfh</t>
  </si>
  <si>
    <t>Total cooking load</t>
  </si>
  <si>
    <t>Total bathrooms</t>
  </si>
  <si>
    <t>WSFU</t>
  </si>
  <si>
    <t>Total kitchens</t>
  </si>
  <si>
    <t>GPM</t>
  </si>
  <si>
    <t>Required Pipe Size</t>
  </si>
  <si>
    <t>4"</t>
  </si>
  <si>
    <t>Laundry Mat</t>
  </si>
  <si>
    <t>CFH PER DRYER</t>
  </si>
  <si>
    <t>Assume</t>
  </si>
  <si>
    <t>CFH</t>
  </si>
  <si>
    <t>Water Heater (WH) #</t>
  </si>
  <si>
    <t>Heater Location</t>
  </si>
  <si>
    <t>Zone</t>
  </si>
  <si>
    <t>GPH</t>
  </si>
  <si>
    <t>WH (gallons)</t>
  </si>
  <si>
    <t>QTY</t>
  </si>
  <si>
    <t>Total WH (gallons)</t>
  </si>
  <si>
    <t>Required Recovery</t>
  </si>
  <si>
    <t>BTU Required for 100 Deg Rise</t>
  </si>
  <si>
    <t>BTU per WH</t>
  </si>
  <si>
    <t>Actual BTU per WH</t>
  </si>
  <si>
    <t>Total BTU Required</t>
  </si>
  <si>
    <t>Basement</t>
  </si>
  <si>
    <t xml:space="preserve">Low </t>
  </si>
  <si>
    <t xml:space="preserve">Mid </t>
  </si>
  <si>
    <t xml:space="preserve">Zone 1 </t>
  </si>
  <si>
    <t>Zone 2</t>
  </si>
  <si>
    <t>2 bedroom</t>
  </si>
  <si>
    <t>Demand</t>
  </si>
  <si>
    <t>Storage</t>
  </si>
  <si>
    <t>gallons</t>
  </si>
  <si>
    <t>BTU</t>
  </si>
  <si>
    <t>Cooking</t>
  </si>
  <si>
    <t>WH</t>
  </si>
  <si>
    <t>Total Base Building</t>
  </si>
  <si>
    <t>Space Heating</t>
  </si>
  <si>
    <t xml:space="preserve">Assume 3750CFH connected load. Provide allowance for a gas booster, as ConEd only provides a guaranteed 4”w.c. and some appliances required 8” w.c. </t>
  </si>
  <si>
    <t xml:space="preserve">Increases in connected loads are negligible compared to space heating loads. </t>
  </si>
  <si>
    <t>C2</t>
  </si>
  <si>
    <t>C3</t>
  </si>
  <si>
    <t>TW</t>
  </si>
  <si>
    <t>RD</t>
  </si>
  <si>
    <t>SR</t>
  </si>
  <si>
    <t>Developer</t>
  </si>
  <si>
    <t xml:space="preserve">Cost Allocation </t>
  </si>
  <si>
    <t>I</t>
  </si>
  <si>
    <t>II</t>
  </si>
  <si>
    <t>III</t>
  </si>
  <si>
    <t>Assume landlord install 100' of telephone cabling in 1"RGS back to existing DACT for  remote central station tie-in. Landlord to cover cost for testing base building fire alarm  system after tenant system is installed.</t>
  </si>
  <si>
    <t>Assume landlord installs 100' of network work cabling in 1"RGS  back to building fire alarm panel. Landlord to cover cost for testing base building fire alarm  system after tenant system is installed.</t>
  </si>
  <si>
    <t xml:space="preserve">Subtotal Premium </t>
  </si>
  <si>
    <t>HIGH</t>
  </si>
  <si>
    <t>LOW</t>
  </si>
  <si>
    <t>Tenant</t>
  </si>
  <si>
    <t>Supermarket</t>
  </si>
  <si>
    <t>Supermarket with food prep, refrigeration, etc…</t>
  </si>
  <si>
    <t>Health care Center</t>
  </si>
  <si>
    <t xml:space="preserve">tenant to provide interceptor based upon connected load of kitchen fixtures. If landlord provides, a 500 lb  250gpm allowance should be adequate. </t>
  </si>
  <si>
    <t>Pharmacy (Small)</t>
  </si>
  <si>
    <t xml:space="preserve">Base Building: </t>
  </si>
  <si>
    <t>Optional: unit heater for unleased space</t>
  </si>
  <si>
    <t>General Retail (Large)</t>
  </si>
  <si>
    <t>General Retail (Small)</t>
  </si>
  <si>
    <t xml:space="preserve">Say 20 btus for freeze protection </t>
  </si>
  <si>
    <t>Optional: unit heater for unleased space. Put one per 2000 sf</t>
  </si>
  <si>
    <t>(this item is costed in cooling system)</t>
  </si>
  <si>
    <t>Optional: Electric unit heaters for unleased space so sprinkler pipes do not freeze</t>
  </si>
  <si>
    <t>Incremental increase in steam system size, piping from base building to unit, meter. (assume 2" steam pipe, 2" condensate returns, steam trap, meter is 2 bms points that measures condensate volume)</t>
  </si>
  <si>
    <t>Optional: Steam fired unit heaters</t>
  </si>
  <si>
    <t>Boiler</t>
  </si>
  <si>
    <t>Incremental increase in gas system, piping from base building to unit, 1" gas pipe, meter 1 bms point, flue stainless steel exit roof, needs a dedicated shaft 18" x 18" od)</t>
  </si>
  <si>
    <t xml:space="preserve">Assume buildings are precast plank on block , assume sheetrock and metal frame. </t>
  </si>
  <si>
    <t>Included within AHU line item</t>
  </si>
  <si>
    <t>update pipe sizes across row</t>
  </si>
  <si>
    <t>Evaporator included in AHU line item</t>
  </si>
  <si>
    <t>Dedicated shat for refrig pipe</t>
  </si>
  <si>
    <t>See small retail option</t>
  </si>
  <si>
    <t>Ducting from louver to AH</t>
  </si>
  <si>
    <t>Need to research cost deltas on AHU types (DX vs. Cooling/ Heat coil, see if there is a material difference)</t>
  </si>
  <si>
    <t>AHU (includes: filters, heating coil, dx  cooling coil, supply fan only, ducts from condenser to louvers)</t>
  </si>
  <si>
    <t>AHU (includes: filters, mixing section, heating coil, cooling coil, fan, return fan, dist. duct work, grills, for spaces bigger than 4000sf have vav boxes)</t>
  </si>
  <si>
    <t>In AHU item</t>
  </si>
  <si>
    <t>Every space needs toilet exhaust fan, landlord provide louver</t>
  </si>
  <si>
    <t>Duct from louver to fan, fan</t>
  </si>
  <si>
    <t>For tenant use only 200 cfm, public use 600 cfm</t>
  </si>
  <si>
    <t>Every space needs toilet exhaust fan, landlord provide louver,  both tenant and public restrooms</t>
  </si>
  <si>
    <t>Provide shaft, louvers</t>
  </si>
  <si>
    <t>Kitchen exhaust fan,</t>
  </si>
  <si>
    <t xml:space="preserve">Exhaust hood </t>
  </si>
  <si>
    <t>Electrical - Carl to check whole section</t>
  </si>
  <si>
    <t>Branch circuiting</t>
  </si>
  <si>
    <t>Check with Carl</t>
  </si>
  <si>
    <t xml:space="preserve">Connection to base buildings backup power: Assume life safety loads only will require emergency power in tenant space. Assume emergency lights and fire alarm only. </t>
  </si>
  <si>
    <t xml:space="preserve">Domestic water piping to unit, sub-meter, </t>
  </si>
  <si>
    <t>Water distribution (cold)</t>
  </si>
  <si>
    <t>Water distribution (hot)</t>
  </si>
  <si>
    <t>Assume 750 CFH additional gas load to building hw system: piping to unit + sub-meter</t>
  </si>
  <si>
    <t>200 gallon storage tank</t>
  </si>
  <si>
    <t>Water dist.</t>
  </si>
  <si>
    <t>Assume 750CFH  gas load, piping to unit, sub-meter</t>
  </si>
  <si>
    <t>Instant water heaters (point of use)</t>
  </si>
  <si>
    <t>Floating level floor</t>
  </si>
  <si>
    <t>Assume this will be located in kitchen areas. Landlord to provide pit and framing or in gym shower area for other retail types</t>
  </si>
  <si>
    <t>4" Waste and 2" Vent caps</t>
  </si>
  <si>
    <t>Waste and Vent connections</t>
  </si>
  <si>
    <t>Trench, 4" Waste and 2" Vent caps</t>
  </si>
  <si>
    <t>Gas piping within space</t>
  </si>
  <si>
    <t>Either Party</t>
  </si>
  <si>
    <t>Rooftop Condenser Unit, refrigerant piping from unit to roof, 1" copper pipe, length is height of building</t>
  </si>
  <si>
    <t>Evaporator and Condenser included in AHU line item</t>
  </si>
  <si>
    <t>Goose neck at the roof, duct through shaft to unit (Eric to define size)</t>
  </si>
  <si>
    <t>Pharmacy (Large)</t>
  </si>
  <si>
    <t>Rule of thumb 40 - 45btus per sf. Use this to calc the boiler size. Double the btu/sf for rest + laundry</t>
  </si>
  <si>
    <t>&lt;150' height : 20,000 sf footprint / 12,000 sf retail  : 110,000 sf : 130 units : precast plank on block : metal frame and sheetrock</t>
  </si>
  <si>
    <t>Use spare 800 amp switch in base building switchboard. Install (2) sets of (4) 500kcm + (1)#1/0g in 3 1/2" c 100' to tenant space. Install 800 amp disconnect switch in tenant space. Landlord will need to upsize incoming electrical service to accommodate, sub-meter</t>
  </si>
  <si>
    <t>New service</t>
  </si>
  <si>
    <t>All branch circuiting</t>
  </si>
  <si>
    <t>Landloard installs conductors from base building switchboard to tenenat space and provides 800 map switch in tenant space.</t>
  </si>
  <si>
    <t>Backup generator for supermarket space</t>
  </si>
  <si>
    <t>By Tenant</t>
  </si>
  <si>
    <t>Lanlorad install feeder and 30 amp switch to tenant space</t>
  </si>
  <si>
    <t>Fire alarm system for tenant space. Tenant to install all initiating and notofcation devices in tenant space and provide a fire alarm panel in tenant space to connect all tenant initiating and notification devices.</t>
  </si>
  <si>
    <t>Emergency lights by tenant, Tenant to provide fixture with intergal 90 minute battery packs</t>
  </si>
  <si>
    <t>800 amp, 208Y/120v three phase electrical service. Assume Con Edison will cover cost for new incoming service. Landlord to provide 800 amp CT Cabinet and 800 amp service switch in tenant space</t>
  </si>
  <si>
    <t>Pharmacy</t>
  </si>
  <si>
    <t>8va/sw.ft</t>
  </si>
  <si>
    <t xml:space="preserve">400 amp (Carl to check size), 208Y/120v three phase electrical service. Assume Con Edison will cover cost for new incoming service. Landlord to provide 400 amp CT Cabinet and 400 amp service switch in tenant space, </t>
  </si>
  <si>
    <t>Use spare 400 amp switch in base building switchboard. Install (1) sets of (4) 500kcm + (1)#1/0g in 3 1/2" c 100' to tenant space. Install 400 amp disconnect switch in tenant space. Landlord will need to upsize incoming electrical service to accommodate, sub-meter</t>
  </si>
  <si>
    <t>assume all costs for generator is by tenant. Will require new gas service. Assume tenant will pay for new gas service. Assume a 15kw natural gas generator with 60 amp switch to serve emergency distribution within tenant space.</t>
  </si>
  <si>
    <t>assume all costs for generator is by tenant. Will require new gas service. Assume tenant will pay for new gas service. Assume a 10kw natural gas generator with 30 amp switch to serve emergency distribution within tenant space.</t>
  </si>
  <si>
    <t xml:space="preserve">Assuming gas kitchen. 200 amp (Carl to check size), 208Y/120v three phase electrical service. Assume Con Edison will cover cost for new incoming service. Landlord to provide 200 amp CT Cabinet and 200 amp service switch in tenant space, </t>
  </si>
  <si>
    <t>Use spare 200 amp switch in base building switchboard. Install (1) sets of (4) 3/0 + (1)#2g in 2 1/2" c 100' to tenant space. Install 200 amp disconnect switch in tenant space. Landlord will need to upsize incoming electrical service to accommodate, sub-meter</t>
  </si>
  <si>
    <t>assume all costs for generator is by tenant. Will require new gas service. Assume tenant will pay for new gas service. Assume a 5kw natural gas generator with 15 amp switch to serve emergency distribution within tenant space.</t>
  </si>
  <si>
    <t>Assume 10kw worth of emergency power. Landlord to install (4) #10 + (1) #12 g in 1"c 100' into tenant space and terminate in a 30a 3 pole disconnect switch in tenant's space.</t>
  </si>
  <si>
    <t>Assume 15kw worth of emergency power. Landlord to install (4) #4 + (1) #8 g in 1 1/4"c 100' into tenant space and terminate in a 60a 3 pole disconnect switch in tenant's space.</t>
  </si>
  <si>
    <t>Fire alarm system for tenant space. Tenant to install all initiating and notifcation devices in tenant space and provide a fire alarm panel in tenant space to connect all tenant initiating and notification devices.</t>
  </si>
  <si>
    <t>Health Care</t>
  </si>
  <si>
    <t>10va/sq.ft</t>
  </si>
  <si>
    <t xml:space="preserve">150 amp, 208Y/120v three phase electrical service. Assume Con Edison will cover cost for new incoming service. Landlord to provide 150 amp CT Cabinet and 150 amp service switch in tenant space, </t>
  </si>
  <si>
    <t>Use spare 150 amp switch in base building switchboard. Install (1) sets of (4) 1/0 + (1)#6G in 2" c 100' to tenant space. Install 150 amp disconnect switch in tenant space. Landlord will need to upsize incoming electrical service to accommodate, sub-meter</t>
  </si>
  <si>
    <t>assume all costs for generator is by tenant. Will require new gas service. Assume tenant will pay for new gas service. Assume a 3.5kw natural gas generator with 15 amp switch to serve emergency distribution within tenant space.</t>
  </si>
  <si>
    <t>Assume 3.5kw worth of emergency power.  Landlord to install (4) #10 + (1) #2 g in 1"c 100' into tenant space and terminate in a 15a 3 pole disconnect switch in tenant's space.</t>
  </si>
  <si>
    <t xml:space="preserve">Assuming gas kitchen. 400 amp, 208Y/120v three phase electrical service. Assume Con Edison will cover cost for new incoming service. Landlord to provide 400 amp CT Cabinet and 400 amp service switch in tenant space, </t>
  </si>
  <si>
    <t>Use spare 400 amp switch in base building switchboard. Install (1) set of (4) 500kcm + (1)#1/0g in 3 1/2" c 100' to tenant space. Install 400 amp disconnect switch in tenant space. Landlord will need to upsize incoming electrical service to accommodate, sub-meter</t>
  </si>
  <si>
    <t>Assume 10kw worth of emergency power. Landlord to install (4) #10 + (1) #2 g in 1"c 100' into tenant space and terminate in a 30a 3 pole disconnect switch in tenant's space.</t>
  </si>
  <si>
    <t xml:space="preserve">200 amp (Carl to check size), 208Y/120v three phase electrical service. Assume Con Edison will cover cost for new incoming service. Landlord to provide 200 amp CT Cabinet and 200 amp service switch in tenant space, </t>
  </si>
  <si>
    <t>Assume 5kw worth of emergency power  Landlord to install (4) #10 + (1) #2 g in 1"c 100' into tenant space and terminate in a 20a 3 pole disconnect switch in tenant's space.</t>
  </si>
  <si>
    <t>Assume 5kw worth of emergency power. Landlord to install (4) #10 + (1) #2 g in 1"c 100' into tenant space and terminate in a 20a 3 pole disconnect switch in tenant's space.</t>
  </si>
  <si>
    <t>assume all costs for generator is by tenant. Will require new gas service. Assume tenant will pay for new gas service. Assume a 5kw natural gas generator with 20 amp switch to serve emergency distribution within tenant space.</t>
  </si>
  <si>
    <t xml:space="preserve">100 amp (Carl to check size), 208Y/120v three phase electrical service. Assume Con Edison will cover cost for new incoming service. Landlord to provide 100 amp CT Cabinet and 100 amp service switch in tenant space, </t>
  </si>
  <si>
    <t>Use spare 100 amp switch in base building switchboard. Install (1) sets of (4) #1 + (1)#6g in 1 1/2" c 100' to tenant space. Install 100 amp disconnect switch in tenant space. Landlord will need to upsize incoming electrical service to accommodate, sub-meter</t>
  </si>
  <si>
    <t>Assume 2.5kw worth of emergency power Landlord to install (4) #10 + (1) #2 g in 1"c 100' into tenant space and terminate in a 15a 3 pole disconnect switch in tenant's space.</t>
  </si>
  <si>
    <t>assume all costs for generator is by tenant. Will require new gas service. Assume tenant will pay for new gas service. Assume a 2.5kw natural gas generator with 15 amp switch to serve emergency distribution within tenant space.</t>
  </si>
  <si>
    <t>Incr. increase in base building heat source; piping from the base building to the unit, metering.  (480MBH requires 2" pipe at 20 degree delta; steel pipe 2" to 4" say 300 ft, meter measures flow rate and temp (3 bms points))</t>
  </si>
  <si>
    <t>Incr. increase in base building heat source; piping from the base building to the unit, metering.  (480 MBH requires 2" pipe at 20 degree delta; steel pipe 2" to 4" say 300 ft, meter measures flow rate and temp (3 bms points))</t>
  </si>
  <si>
    <t>Incr. increase in base building heat source; piping from the base building to the unit, metering.  (240 MBH requires 1-1/2" pipe at 20 degree delta; steel pipe 1" to 2" say 100 ft, meter measures flow rate and temp (3 bms points))</t>
  </si>
  <si>
    <t>Incr. increase in base building heat source; piping from the base building to the unit, metering.  (160 MBH requires 1-1/1" pipe at 20 degree delta; steel pipe 1" to 2" say 100 ft, meter measures flow rate and temp (3 bms points))</t>
  </si>
  <si>
    <t>Incr. increase in base building heat source; piping from the base building to the unit, metering.  (160 MBH requires 1-1/2" pipe at 20 degree delta; steel pipe 2" to 4" say 100 ft, meter measures flow rate and temp (3 bms points))</t>
  </si>
  <si>
    <t>Incr. increase in base building heat source; piping from the base building to the unit, metering.  (160 MBH requires 1-1/2" pipe at 20 degree delta; steel pipe 1" to 2" say 100 ft, meter measures flow rate and temp (3 bms points))</t>
  </si>
  <si>
    <t>Incr. increase in base building heat source; piping from the base building to the unit, metering.  (80 MBH requires 1" pipe at 20 degree delta; steel pipe 1" to 2" say 100 ft, meter measures flow rate and temp (3 bms points))</t>
  </si>
  <si>
    <t>Incr. increase in base building heat source; piping from the base building to the unit, metering.  (320 MBH requires 2" pipe at 20 degree delta; steel pipe 2" to 4" say 100 ft, meter measures flow rate and temp (3 bms points))</t>
  </si>
  <si>
    <t xml:space="preserve">assuming 3 gmp/ton </t>
  </si>
  <si>
    <t>Incremental increase in condenser water system size, piping from base building to unit, no meter.  ( price for condensed water included in cooling system, 40 tons of cooling would be 3" pipe; steel pipe 3" to 4" say 300") Cost here is pipe only</t>
  </si>
  <si>
    <t>Incremental increase in condenser water system size, piping from base building to unit, no meter.  ( price for condensed water included in cooling system, 60 tons of cooling would be 4" pipe; steel pipe 3" to 4" say 300") Cost here is pipe only</t>
  </si>
  <si>
    <t>Incremental increase in condenser water system size, piping from base building to unit, no meter.  ( price for condensed water included in cooling system, 30 tons of cooling would be 3" pipe; steel pipe 3" to 4" say 300") Cost here is pipe only</t>
  </si>
  <si>
    <t>Incremental increase in condenser water system size, piping from base building to unit, no meter.  ( price for condensed water included in cooling system, 15 tons of cooling would be 2" pipe; steel pipe 3" to 4" say 300") Cost here is pipe only</t>
  </si>
  <si>
    <t>Incremental increase in condenser water system size, piping from base building to unit, no meter.  ( price for condensed water included in cooling system, 20 tons of cooling would be 2-1/2" pipe; steel pipe 3" to 4" say 300") Cost here is pipe only</t>
  </si>
  <si>
    <t>Incremental increase in condenser water system size, piping from base building to unit, no meter.  ( price for condensed water included in cooling system, 16 tons of cooling would be 2" pipe; steel pipe 3" to 4" say 300") Cost here is pipe only</t>
  </si>
  <si>
    <t>Incremental increase in condenser water system size, piping from base building to unit, no meter.  ( price for condensed water included in cooling system, 8 tons of cooling would be 1-1/2" pipe; steel pipe 3" to 4" say 300") Cost here is pipe only</t>
  </si>
  <si>
    <t>Incr. increase in base building cooling source; piping from the base building to the unit, metering.  (40 tons requires 2-1/2" pipe at 14 degree delta; steel pipe 4" to 6", say 300 ft, meter measures flow rate and temp 3 bms points)</t>
  </si>
  <si>
    <t>Incr. increase in base building cooling source; piping from the base building to the unit, metering.  (60 tons requires 3" pipe at 14 degree delta; steel pipe 4" to 6", say 300 ft, meter measures flow rate and temp 3 bms points)</t>
  </si>
  <si>
    <t>Incr. increase in base building cooling source; piping from the base building to the unit, metering.  (30 tons requires 2-1/2" pipe at 14 degree delta; steel pipe 4" to 6", say 300 ft, meter measures flow rate and temp 3 bms points)</t>
  </si>
  <si>
    <t>Incr. increase in base building cooling source; piping from the base building to the unit, metering.  (15 tons requires 2" pipe at 14 degree delta; steel pipe 4" to 6", say 300 ft, meter measures flow rate and temp 3 bms points)</t>
  </si>
  <si>
    <t>Incr. increase in base building cooling source; piping from the base building to the unit, metering.  (20 tons requires 2" pipe at 14 degree delta; steel pipe 4" to 6", say 300 ft, meter measures flow rate and temp 3 bms points)</t>
  </si>
  <si>
    <t>Incr. increase in base building cooling source; piping from the base building to the unit, metering.  (16 tons requires 2" pipe at 14 degree delta; steel pipe 4" to 6", say 300 ft, meter measures flow rate and temp 3 bms points)</t>
  </si>
  <si>
    <t>Incr. increase in base building cooling source; piping from the base building to the unit, metering.  (8 tons requires 1-1/4" pipe at 14 degree delta; steel pipe 4" to 6", say 300 ft, meter measures flow rate and temp 3 bms points)</t>
  </si>
  <si>
    <t>Dedicated shaft for refrig pipe</t>
  </si>
  <si>
    <t>Minimum 2.88 SF free area Louver</t>
  </si>
  <si>
    <t>Minimum 5.52 SF free area Louver</t>
  </si>
  <si>
    <t>Minimum 2.76 SF free area Louver</t>
  </si>
  <si>
    <t>Minimum 1.84 SF free area Louver</t>
  </si>
  <si>
    <t>Minimum 2.82 SF free area Louver</t>
  </si>
  <si>
    <t>Minimum 1.86 SF free area Louver</t>
  </si>
  <si>
    <t>Minimum 0.93 SF free area Louver</t>
  </si>
  <si>
    <t>Minimum 0.84 SF free area Louver</t>
  </si>
  <si>
    <t xml:space="preserve">Kitchen and dishwasher exhaust vents and fans. </t>
  </si>
  <si>
    <t>~1.3 CFM/SF, then research diff AHU types / costs, (single vs multi zones, inside vs outside), these are defined above</t>
  </si>
  <si>
    <t>~2 CFM/SF, then research diff AHU types / costs, (single vs multi zones, inside vs outside), these are defined above</t>
  </si>
  <si>
    <t>~1.5 CFM/SF, then research diff AHU types / costs, (single vs multi zones, inside vs outside), these are defined above</t>
  </si>
  <si>
    <t>~1.6 CFM/SF, then research diff AHU types / costs, (single vs multi zones, inside vs outside), these are defined above</t>
  </si>
  <si>
    <t>Minimum 2.88 SF free area Louver (each)</t>
  </si>
  <si>
    <t>Minimum 5.52 SF free area Louver (each)</t>
  </si>
  <si>
    <t>Minimum 2.76 SF free area Louver (each)</t>
  </si>
  <si>
    <t>Minimum 1.84 SF free area Louver (each)</t>
  </si>
  <si>
    <t>Minimum 2.82 SF free area Louver (each)</t>
  </si>
  <si>
    <t>Minimum 1.86 SF free area Louver (each)</t>
  </si>
  <si>
    <t>Minimum 0.93 SF free area Louver (each)</t>
  </si>
  <si>
    <t>Minimum 0.84 SF free area Louver (each)</t>
  </si>
  <si>
    <t>Probably not an option as dryer exhaust is typically pretty limited on how far it can run.</t>
  </si>
  <si>
    <t>2" pipes at 20deg delta</t>
  </si>
  <si>
    <t>Included in AHU</t>
  </si>
  <si>
    <t>Included in Cooling System</t>
  </si>
  <si>
    <t>2" condensate returns</t>
  </si>
  <si>
    <t>1" gas pipe</t>
  </si>
  <si>
    <t>1 bms point meter</t>
  </si>
  <si>
    <t>Flue stainless steel exit roof</t>
  </si>
  <si>
    <t>Shaft 18" x 18" (OD)</t>
  </si>
  <si>
    <t>Shaft for refrig. Pipe</t>
  </si>
  <si>
    <t>1" copper pipe</t>
  </si>
  <si>
    <t>AHU (Filters, mixing sections, heating coil, cooling coil, fan, return fan, duct work, grills)</t>
  </si>
  <si>
    <t>Landlord provide Louver</t>
  </si>
  <si>
    <t>Tenant &amp; public restrooms</t>
  </si>
  <si>
    <t>Duct from Louver to fan</t>
  </si>
  <si>
    <t>Fan</t>
  </si>
  <si>
    <t>Goose neck at Roof</t>
  </si>
  <si>
    <t xml:space="preserve">Electrical </t>
  </si>
  <si>
    <t>800 amp - 208Y/120V three phase electrical service / cost covered by Con Edison</t>
  </si>
  <si>
    <t>Landlord will pay for it</t>
  </si>
  <si>
    <t>New gas service</t>
  </si>
  <si>
    <t xml:space="preserve">(4)#4 + (1)#8g in 1 1/4"c 100' </t>
  </si>
  <si>
    <t>100' telephone cabling in 1"RGS</t>
  </si>
  <si>
    <t>Notification devices</t>
  </si>
  <si>
    <t>Fire alarm panel</t>
  </si>
  <si>
    <t>Visual water meter inspection or BMS</t>
  </si>
  <si>
    <t>750CFH to load additionally to building HW system</t>
  </si>
  <si>
    <t>Instant water heaters</t>
  </si>
  <si>
    <t>Dropped floor slab (kitchen areas)</t>
  </si>
  <si>
    <t>Pit</t>
  </si>
  <si>
    <t>Framing</t>
  </si>
  <si>
    <t>2" cap vent</t>
  </si>
  <si>
    <t>Trench</t>
  </si>
  <si>
    <t>Gas booster</t>
  </si>
  <si>
    <t>MATERIAL?</t>
  </si>
  <si>
    <t>Length? Material? Diam?</t>
  </si>
  <si>
    <t>3" floor control assembly</t>
  </si>
  <si>
    <t>Quantity</t>
  </si>
  <si>
    <t>Unit</t>
  </si>
  <si>
    <t>Kitchen exhaust fan</t>
  </si>
  <si>
    <t>Exhaust hood</t>
  </si>
  <si>
    <t>2CFM / SF</t>
  </si>
  <si>
    <t>400 amp - 208Y/120V three phase electrical service / cost covered by Con Edison</t>
  </si>
  <si>
    <t>10Kw worth of emergency power</t>
  </si>
  <si>
    <t xml:space="preserve">(4)#10 + (1)#12g in 1"c 100' </t>
  </si>
  <si>
    <t>200 amp - 208Y/120V three phase electrical service / cost covered by Con Edison</t>
  </si>
  <si>
    <t>1 sets of (4) 3/0 + (1)#2g in 2 1/2"c 100'</t>
  </si>
  <si>
    <t xml:space="preserve">(4)#10 + (1)#2g in 1"c 100' </t>
  </si>
  <si>
    <t>1.5CFM / SF</t>
  </si>
  <si>
    <t>150 amp - 208Y/120V three phase electrical service / cost covered by Con Edison</t>
  </si>
  <si>
    <t>1 sets of (4) 1/0 + (1)#6g in 2"c 100'</t>
  </si>
  <si>
    <t>2 CFM / SF</t>
  </si>
  <si>
    <t>1 sets of (4) 1/0 + (1)#6g in 3 1/2"c 100'</t>
  </si>
  <si>
    <t>1 - 1/2" pipes at 20deg delta</t>
  </si>
  <si>
    <t>1.6 CFM / SF</t>
  </si>
  <si>
    <t>1" pipes at 20deg delta</t>
  </si>
  <si>
    <t>Evaporator and condenser included in AHU LINE ITEM</t>
  </si>
  <si>
    <t>100 amp - 208Y/120V three phase electrical service / cost covered by Con Edison</t>
  </si>
  <si>
    <t>1 sets of (4)#1/0 + (1)#6g in 1 1/2"c 100'</t>
  </si>
  <si>
    <t>EA</t>
  </si>
  <si>
    <t>Building Height</t>
  </si>
  <si>
    <t>LF</t>
  </si>
  <si>
    <t># units</t>
  </si>
  <si>
    <t>NOTES</t>
  </si>
  <si>
    <t>Notes</t>
  </si>
  <si>
    <t>Ea</t>
  </si>
  <si>
    <t>Unit Cost</t>
  </si>
  <si>
    <t>Total Cost</t>
  </si>
  <si>
    <t>Tenant ArEa (SF)</t>
  </si>
  <si>
    <t>Total Cost per Option</t>
  </si>
  <si>
    <t>1.1.a.2</t>
  </si>
  <si>
    <t>1.1.a.1</t>
  </si>
  <si>
    <t>1.1.a.3</t>
  </si>
  <si>
    <t>1.1.b.3</t>
  </si>
  <si>
    <t>1.1.b.2</t>
  </si>
  <si>
    <t>1.1.c.1</t>
  </si>
  <si>
    <t>1.1.c.2</t>
  </si>
  <si>
    <t>1.1.c.3</t>
  </si>
  <si>
    <t>1.1.d.1</t>
  </si>
  <si>
    <t>1.1.d.2</t>
  </si>
  <si>
    <t>1.1.d.3</t>
  </si>
  <si>
    <t>1.1.b.1</t>
  </si>
  <si>
    <t>1.2.a.1</t>
  </si>
  <si>
    <t>1.2.a.2</t>
  </si>
  <si>
    <t>1.2.a.3</t>
  </si>
  <si>
    <t>1.2.b.1</t>
  </si>
  <si>
    <t>1.2.b.2</t>
  </si>
  <si>
    <t>1.2.b.3</t>
  </si>
  <si>
    <t>1.2.c.1</t>
  </si>
  <si>
    <t>1.2.c.2</t>
  </si>
  <si>
    <t>1.2.c.3</t>
  </si>
  <si>
    <t>1.2.d.1</t>
  </si>
  <si>
    <t>1.2.d.2</t>
  </si>
  <si>
    <t>1.2.d.3</t>
  </si>
  <si>
    <t>1.2.e.1</t>
  </si>
  <si>
    <t>1.2.e.2</t>
  </si>
  <si>
    <t>1.2.e.3</t>
  </si>
  <si>
    <t>1.3.a.1</t>
  </si>
  <si>
    <t>1.3.a.2</t>
  </si>
  <si>
    <t>1.3.a.3</t>
  </si>
  <si>
    <t>1.4.a.1</t>
  </si>
  <si>
    <t>1.4.a.2</t>
  </si>
  <si>
    <t>1.4.a.3</t>
  </si>
  <si>
    <t>1.5.a.1</t>
  </si>
  <si>
    <t>1.5.a.2</t>
  </si>
  <si>
    <t>1.5.a.3</t>
  </si>
  <si>
    <t>1.6.a.1</t>
  </si>
  <si>
    <t>1.6.a.2</t>
  </si>
  <si>
    <t>1.6.a.3</t>
  </si>
  <si>
    <t>1.7.a.1</t>
  </si>
  <si>
    <t>1.7.a.2</t>
  </si>
  <si>
    <t>1.7.a.3</t>
  </si>
  <si>
    <t>1.7.b.1</t>
  </si>
  <si>
    <t>1.7.b.2</t>
  </si>
  <si>
    <t>1.7.b.3</t>
  </si>
  <si>
    <t>1.7.c.1</t>
  </si>
  <si>
    <t>1.7.c.2</t>
  </si>
  <si>
    <t>1.7.c.3</t>
  </si>
  <si>
    <t>1.7.d.1</t>
  </si>
  <si>
    <t>1.7.d.2</t>
  </si>
  <si>
    <t>1.7.d.3</t>
  </si>
  <si>
    <t>1.8.a.1</t>
  </si>
  <si>
    <t>1.8.a.2</t>
  </si>
  <si>
    <t>1.8.a.3</t>
  </si>
  <si>
    <t>1.8.b.1</t>
  </si>
  <si>
    <t>1.8.b.2</t>
  </si>
  <si>
    <t>1.8.b.3</t>
  </si>
  <si>
    <t>1.4.1.2</t>
  </si>
  <si>
    <t>2.1.a.1</t>
  </si>
  <si>
    <t>2.1.a.2</t>
  </si>
  <si>
    <t>2.1.a.3</t>
  </si>
  <si>
    <t>2.1.b.1</t>
  </si>
  <si>
    <t>2.1.b.2</t>
  </si>
  <si>
    <t>2.1.b.3</t>
  </si>
  <si>
    <t>2.2.a.1</t>
  </si>
  <si>
    <t>2.2.a.2</t>
  </si>
  <si>
    <t>2.2.a.3</t>
  </si>
  <si>
    <t>2.2.b.1</t>
  </si>
  <si>
    <t>2.2.b.2</t>
  </si>
  <si>
    <t>2.2.c.1</t>
  </si>
  <si>
    <t>2.2.c.2</t>
  </si>
  <si>
    <t>2.2.c.3</t>
  </si>
  <si>
    <t>2.3.a.1</t>
  </si>
  <si>
    <t>2.3.a.2</t>
  </si>
  <si>
    <t>2.3.a.3</t>
  </si>
  <si>
    <t>2.3.b.1</t>
  </si>
  <si>
    <t>2.3.b.2</t>
  </si>
  <si>
    <t>2.3.b.3</t>
  </si>
  <si>
    <t>2.2.b.3</t>
  </si>
  <si>
    <t>3.1.a.1</t>
  </si>
  <si>
    <t>3.1.a.2</t>
  </si>
  <si>
    <t>3.1.a.3</t>
  </si>
  <si>
    <t>3.2.a.1</t>
  </si>
  <si>
    <t>3.2.a.2</t>
  </si>
  <si>
    <t>3.2.a.3</t>
  </si>
  <si>
    <t>3.2.b.1</t>
  </si>
  <si>
    <t>3.2.b.2</t>
  </si>
  <si>
    <t>3.2.b.3</t>
  </si>
  <si>
    <t>3.2.c.1</t>
  </si>
  <si>
    <t>3.2.c.2</t>
  </si>
  <si>
    <t>3.2.c.3</t>
  </si>
  <si>
    <t>3.3.a.1</t>
  </si>
  <si>
    <t>3.3.a.2</t>
  </si>
  <si>
    <t>3.3.a.3</t>
  </si>
  <si>
    <t>3.3.b.1</t>
  </si>
  <si>
    <t>3.3.b.2</t>
  </si>
  <si>
    <t>3.3.b.3</t>
  </si>
  <si>
    <t>3.3.c.1</t>
  </si>
  <si>
    <t>3.3.c.2</t>
  </si>
  <si>
    <t>3.3.c.3</t>
  </si>
  <si>
    <t>3.4.a.1</t>
  </si>
  <si>
    <t>3.4.a.2</t>
  </si>
  <si>
    <t>3.4.a.3</t>
  </si>
  <si>
    <t>3.4.b.1</t>
  </si>
  <si>
    <t>3.4.b.2</t>
  </si>
  <si>
    <t>3.4.b.3</t>
  </si>
  <si>
    <t>3.5.a.1</t>
  </si>
  <si>
    <t>3.5.a.2</t>
  </si>
  <si>
    <t>3.5.a.3</t>
  </si>
  <si>
    <t>3.5.b.1</t>
  </si>
  <si>
    <t>3.5.b.2</t>
  </si>
  <si>
    <t>3.5.b.3</t>
  </si>
  <si>
    <t>3.6.a.1</t>
  </si>
  <si>
    <t>3.6.a.2</t>
  </si>
  <si>
    <t>3.6.a.3</t>
  </si>
  <si>
    <t>RS MEANS</t>
  </si>
  <si>
    <t>http://www.grainger.com/product/4RD30?gclid=CKLl3tW5zMYCFUFufgodUNUDiA&amp;cm_mmc=PPC:GOOGLEPLAA-_-Pumps-_-Condensate%20Pumps-_-4RD30&amp;ef_id=VYIOSgAABd7hq7dA:20150708211303:s</t>
  </si>
  <si>
    <t>Steam fired unit heaters</t>
  </si>
  <si>
    <t>Health Care Center</t>
  </si>
  <si>
    <t>General retail (Large)</t>
  </si>
  <si>
    <t>2" steam pipe</t>
  </si>
  <si>
    <t>Toilet exhaust fan</t>
  </si>
  <si>
    <t># bathrooms</t>
  </si>
  <si>
    <t>Provide shaft</t>
  </si>
  <si>
    <t>Assumed 2.88SF area Louver</t>
  </si>
  <si>
    <t>Length = Height of Building</t>
  </si>
  <si>
    <t>Assumed Qty of 1</t>
  </si>
  <si>
    <t>Assumed qty of 1</t>
  </si>
  <si>
    <t>Assumed this one is selected</t>
  </si>
  <si>
    <t>Assumed 300 LF Copper</t>
  </si>
  <si>
    <t>3" copper pipe</t>
  </si>
  <si>
    <t>Assumed qty</t>
  </si>
  <si>
    <t>Assumed qty. 3" diam</t>
  </si>
  <si>
    <t>Assumed PVC</t>
  </si>
  <si>
    <t>2 sets of (4) 500mcm + (1)#1/0g in 3 1/2" c100'</t>
  </si>
  <si>
    <t>Assumet qty</t>
  </si>
  <si>
    <t>260519900140</t>
  </si>
  <si>
    <t>Wire, copper, stranded</t>
  </si>
  <si>
    <t>Assumed 200 gallons</t>
  </si>
  <si>
    <t>Assumed 6" D</t>
  </si>
  <si>
    <t>General retail (Small)</t>
  </si>
  <si>
    <t>Pharmacy (L)</t>
  </si>
  <si>
    <t>Pharmacy (S)</t>
  </si>
  <si>
    <t>General Retail (L)</t>
  </si>
  <si>
    <t>General Retail (S)</t>
  </si>
  <si>
    <t>Option</t>
  </si>
  <si>
    <t>1.1.a</t>
  </si>
  <si>
    <t>1.1.b</t>
  </si>
  <si>
    <t>1.1.c</t>
  </si>
  <si>
    <t>1.1.d</t>
  </si>
  <si>
    <t>1.2.a</t>
  </si>
  <si>
    <t>1.2.b</t>
  </si>
  <si>
    <t>1.2.c</t>
  </si>
  <si>
    <t>1.2.d</t>
  </si>
  <si>
    <t>1.2.e</t>
  </si>
  <si>
    <t>1.3.a</t>
  </si>
  <si>
    <t>1.4.a</t>
  </si>
  <si>
    <t>1.5.a</t>
  </si>
  <si>
    <t>1.6.a</t>
  </si>
  <si>
    <t>1.7.a</t>
  </si>
  <si>
    <t>1.7.b</t>
  </si>
  <si>
    <t>1.7.c</t>
  </si>
  <si>
    <t>1.7.d</t>
  </si>
  <si>
    <t>1.8.a</t>
  </si>
  <si>
    <t>1.8.b</t>
  </si>
  <si>
    <t>2.1.a</t>
  </si>
  <si>
    <t>2.1.b</t>
  </si>
  <si>
    <t>2.2.a</t>
  </si>
  <si>
    <t>2.2.b</t>
  </si>
  <si>
    <t>2.2.c</t>
  </si>
  <si>
    <t>2.3.a</t>
  </si>
  <si>
    <t>2.3.b</t>
  </si>
  <si>
    <t>3.1.a</t>
  </si>
  <si>
    <t>3.2.a</t>
  </si>
  <si>
    <t>3.2.b</t>
  </si>
  <si>
    <t>3.2.c</t>
  </si>
  <si>
    <t>3.3.a</t>
  </si>
  <si>
    <t>3.3.b</t>
  </si>
  <si>
    <t>3.3.c</t>
  </si>
  <si>
    <t>3.4.a</t>
  </si>
  <si>
    <t>3.4.b</t>
  </si>
  <si>
    <t>3.5.a</t>
  </si>
  <si>
    <t>3.5.b</t>
  </si>
  <si>
    <t>3.6.a</t>
  </si>
  <si>
    <t>Tenant Type</t>
  </si>
  <si>
    <t>Cost Allocation</t>
  </si>
  <si>
    <t>Tenant + Either Party</t>
  </si>
  <si>
    <t>Developer + Either Party</t>
  </si>
  <si>
    <t>Electric unit heaters</t>
  </si>
  <si>
    <t>Steam trap</t>
  </si>
  <si>
    <t>1 set of 4 500mcm + (1)#1/0g in 3 1/2" c100'</t>
  </si>
  <si>
    <t>Total cost per Cost Alloc.</t>
  </si>
  <si>
    <t xml:space="preserve">TOTAL </t>
  </si>
  <si>
    <t>COST MATRIX TOOL</t>
  </si>
  <si>
    <t xml:space="preserve">Baseline Assumptions </t>
  </si>
  <si>
    <t>This is a tool for the designer or user that will faciltate the decision process regarding design options and cost allocation.</t>
  </si>
  <si>
    <t>Once the option and the cost allocation have been selected, the costs update automatically.</t>
  </si>
  <si>
    <t>TOTAL</t>
  </si>
  <si>
    <t>DEVELOPER TOTAL</t>
  </si>
  <si>
    <t>TENANT TOTAL</t>
  </si>
  <si>
    <t>$ / SF</t>
  </si>
  <si>
    <t>Space area:</t>
  </si>
  <si>
    <t xml:space="preserve">Each system has a design option (a,b,c,d) and a cost allocation possibility (developer, tenant, shared). </t>
  </si>
  <si>
    <t>High + 50%</t>
  </si>
  <si>
    <t>Low - 20%</t>
  </si>
  <si>
    <t>Project Description</t>
  </si>
  <si>
    <t>Assumptions</t>
  </si>
  <si>
    <t>ARUP has no control over the cost of labor and materials, general contractor’s or any subcontractor’s method of determining prices, or competitive bidding and market conditions.  This opinion of probable cost of construction is made on the basis of the experience, qualifications, and best judgment of the professional consultant familiar with the construction industry.  ARUP cannot and does not guarantee that proposals, bids, or actual construction costs will not vary from this or subsequent cost estimates.</t>
  </si>
  <si>
    <t>ROUGH ORDER OF MAGNITUDE STATEMENT OF PROBABLE COST</t>
  </si>
  <si>
    <t>ISSUE</t>
  </si>
  <si>
    <t>Rev 0</t>
  </si>
  <si>
    <t>Prepared for:</t>
  </si>
  <si>
    <t>Arup North America Ltd.</t>
  </si>
  <si>
    <t>560 Mission Street, Suite 700</t>
  </si>
  <si>
    <t>San Francisco, CA 94105</t>
  </si>
  <si>
    <t>United States of America</t>
  </si>
  <si>
    <t>t : + 1 415.957.9445</t>
  </si>
  <si>
    <t>f : + 1 415.957.9096</t>
  </si>
  <si>
    <t>www.arup.com</t>
  </si>
  <si>
    <t>PROJECT NOTES &amp; BASIS OF ESTIMATE</t>
  </si>
  <si>
    <t>Basis of Estimate</t>
  </si>
  <si>
    <t>This estimate is classified as a Level 5 within the Arup Cost Estimate Classification Tool and was generated by means of widely used and accepted estimating practices.</t>
  </si>
  <si>
    <t>Subcontractor’s markups have been included in each line item unit price.  These markups cover the cost of field overhead, home office overhead, and profit.  These markups can range from 5% to 15% of the cost for that particular item of work. The rates that have been established are for budgetary purposes only and are not to be used to establish the cost of additions or deletions to the scope of work that may arise during the actual construction process.</t>
  </si>
  <si>
    <t>Costs will be updated as the design develops in later stages and the level of estimate detail will be progressed in relation to the design</t>
  </si>
  <si>
    <t>This cost estimate reflects only the line items provided and does not include any cost for items that may be impacted as a result of these engineering features</t>
  </si>
  <si>
    <t>Documentations</t>
  </si>
  <si>
    <t>Project Construction Schedule</t>
  </si>
  <si>
    <t xml:space="preserve">TBD </t>
  </si>
  <si>
    <t>Indirect Costs, Overhead and Profit</t>
  </si>
  <si>
    <t>Soft Costs</t>
  </si>
  <si>
    <t>Soft costs have not been included in this exercise</t>
  </si>
  <si>
    <t>Contingency</t>
  </si>
  <si>
    <t>Escalation</t>
  </si>
  <si>
    <t>The costs presented herein are based on Qtr 2 2015 USD.  No escalation has been included.</t>
  </si>
  <si>
    <t>Easy access to the work area with minimal constraints.</t>
  </si>
  <si>
    <t>Normal bidding climate.</t>
  </si>
  <si>
    <t>Staging area within reasonable distance from the site.</t>
  </si>
  <si>
    <t xml:space="preserve">All work done during normal business hours. </t>
  </si>
  <si>
    <t>Items excluded from the Cost Estimate</t>
  </si>
  <si>
    <t>Land acquisition fees</t>
  </si>
  <si>
    <t>Legal and accounting fees</t>
  </si>
  <si>
    <t>Financing charges</t>
  </si>
  <si>
    <t>Fire and all risk insurance</t>
  </si>
  <si>
    <t>Hazardous material mitigation</t>
  </si>
  <si>
    <t>The costs or impacts of latent environmental issues that result in litigations or development delays</t>
  </si>
  <si>
    <t>Planning and enquiry costs including legal expenses and fees</t>
  </si>
  <si>
    <t>Bid contingency</t>
  </si>
  <si>
    <t>Cost escalation beyond the date of this estimate</t>
  </si>
  <si>
    <t>Items that may affect the cost estimate</t>
  </si>
  <si>
    <t>Modifications to the scope of work included in this estimate.</t>
  </si>
  <si>
    <t>Special phasing requirements.</t>
  </si>
  <si>
    <t>Restrictive technical specifications or excessive contract conditions.</t>
  </si>
  <si>
    <t>Any other non-competitive bid situations.</t>
  </si>
  <si>
    <t>Bids delayed beyond the projected schedule.</t>
  </si>
  <si>
    <t>Statements of Probable Cost</t>
  </si>
  <si>
    <t>Recommendation for Cost Control</t>
  </si>
  <si>
    <t>ARUP recommends that the Owner carefully review this document, including line item descriptions, unit prices, clarifications, exclusions, inclusions and assumptions, contingencies, escalation and markups.  If the project is over budget, or if there are unresolved budgeting issues, alternate systems schemes should be evaluated before proceeding into the construction phase.</t>
  </si>
  <si>
    <t>Request for Modifications</t>
  </si>
  <si>
    <t>Requests for modifications of any apparent errors or omissions to this document must be made to  ARUP within thirty (30) days of receipt of this estimate.  Otherwise, it will be understood that the contents have been concurred with and accepted.</t>
  </si>
  <si>
    <t>Estimate Classification Matrix</t>
  </si>
  <si>
    <t>Design Trust for Public Spaces</t>
  </si>
  <si>
    <t>MECHANICAL - ELECTRICAL - PLUMBING SYSTEMS FOR RETAIL SPACES</t>
  </si>
  <si>
    <t>DESIGN GUIDELINES</t>
  </si>
  <si>
    <t xml:space="preserve">The Design Trust for Public Spaces, in partnership with NYC Department of Housing Preservation and Development is preparing the design guidelines for Retail and other floor uses in affordable housing developments. </t>
  </si>
  <si>
    <t>Pricing shown reflects probable construction costs obtainable in the New York area on the date of this document.  This estimate is a determination of fair market value for the construction of this project.  It is not a prediction of low bid.  Pricing assumes competitive bidding for every portion of the construction work for all subcontractors, that is to mean 4 to 5 bids.  If fewer bids are received, bid results can be expected to be higher.</t>
  </si>
  <si>
    <t>This document is based on the measurement and pricing of quantities taken from a high level design option. Therefore, the quantities are  subject to change as the design progresses.</t>
  </si>
  <si>
    <t>The estimate within this document is not intended to set the budget for the potential work. The budget can only be established once the design solutions have been thoroughly developed and the  Forecasted Costs subsequently approved by the Owner.</t>
  </si>
  <si>
    <t>Estimate includes no third party costs, owner's costs, or escalation</t>
  </si>
  <si>
    <t>Indirect Costs, Overhead and Profit have not been included in this exercise.</t>
  </si>
  <si>
    <t>Design and Construction Contingency have not been included in this exercise.</t>
  </si>
  <si>
    <t>QAQC</t>
  </si>
  <si>
    <t>Local statutory regulations</t>
  </si>
  <si>
    <t>Permits</t>
  </si>
  <si>
    <t>Developer Cost</t>
  </si>
  <si>
    <t>Tenant Cost</t>
  </si>
  <si>
    <t>Developer + Either party</t>
  </si>
  <si>
    <t>Those options appear on a drop-down menu. Select the design option (a, b, c, d) and the cost allocation for the Developer (Developer, Developer + Either Party), The cost allocation for the Tenant updates automatically.</t>
  </si>
  <si>
    <t>LS</t>
  </si>
  <si>
    <t>Fire alarm system (including notification devices &amp; fire alarm panel)</t>
  </si>
  <si>
    <t xml:space="preserve">Steel pipe 2" - 4" </t>
  </si>
  <si>
    <t>Steel pipe 1" - 2"</t>
  </si>
  <si>
    <t>Electric Unit Heaters</t>
  </si>
  <si>
    <t>Steam fired Unit Heaters</t>
  </si>
  <si>
    <t>1 BMS point meter</t>
  </si>
  <si>
    <t>Meters: Flow &amp; Temp</t>
  </si>
  <si>
    <t>2 BMS points Meter Condensate Volume</t>
  </si>
  <si>
    <t>2 - 1/2" pipe at 14deg delta</t>
  </si>
  <si>
    <t>3" pipe at 14deg delta</t>
  </si>
  <si>
    <t>2" pipe at 14deg delta</t>
  </si>
  <si>
    <t>1 - 1/4" pipe at 14deg delta</t>
  </si>
  <si>
    <t>Steel pipe 4" - 6"</t>
  </si>
  <si>
    <t>3 BMS points Meters: Flow &amp; Temp</t>
  </si>
  <si>
    <t>Steel pipe 3" - 4"</t>
  </si>
  <si>
    <t>Roof Top Condenser Unit</t>
  </si>
  <si>
    <t>Refrigerant piping: 6" diameter Black Steel</t>
  </si>
  <si>
    <t>2.88 SF Louver</t>
  </si>
  <si>
    <t>Ducting from Louver to AHU</t>
  </si>
  <si>
    <t>12" x 18" size assumption</t>
  </si>
  <si>
    <t>Louver  - Toilet</t>
  </si>
  <si>
    <t>Louver  - Kitchen</t>
  </si>
  <si>
    <t>AHU: Inside - Multizone - 15,600 CFM</t>
  </si>
  <si>
    <t>AHU: Inside - Single - 15,600 CFM</t>
  </si>
  <si>
    <t>AHU: Outside - Multizone - 15,600 CFM</t>
  </si>
  <si>
    <t>AHU: Outside - Single - 15,600 CFM</t>
  </si>
  <si>
    <t>5.52 SF Louver</t>
  </si>
  <si>
    <t>AHU: Inside - Multizone - 24,000 CFM</t>
  </si>
  <si>
    <t>AHU: Inside - Single - 24,000 CFM</t>
  </si>
  <si>
    <t>AHU: Outside - Multizone - 24,000 CFM</t>
  </si>
  <si>
    <t>AHU: Outside - Single - 24,000 CFM</t>
  </si>
  <si>
    <t>AHU: Inside - Multizone - 12,000 CFM</t>
  </si>
  <si>
    <t>AHU: Inside - Single - 12,000 CFM</t>
  </si>
  <si>
    <t>AHU: Outside - Multizone - 12,000 CFM</t>
  </si>
  <si>
    <t>AHU: Outside - Single - 12,000 CFM</t>
  </si>
  <si>
    <t>1.84 SF Louver</t>
  </si>
  <si>
    <t>AHU: Inside - Multizone - 6,000 CFM</t>
  </si>
  <si>
    <t>AHU: Inside - Single - 6,000 CFM</t>
  </si>
  <si>
    <t>AHU: Outside - Multizone - 6,000 CFM</t>
  </si>
  <si>
    <t>AHU: Outside - Single - 6,000 CFM</t>
  </si>
  <si>
    <t>AHU: Inside - Multizone - 8,000 CFM</t>
  </si>
  <si>
    <t>AHU: Inside - Single - 8,000 CFM</t>
  </si>
  <si>
    <t>AHU: Outside - Multizone - 8,000 CFM</t>
  </si>
  <si>
    <t>AHU: Outside - Single - 8,000 CFM</t>
  </si>
  <si>
    <t>AHU: Inside - Multizone - 6,400 CFM</t>
  </si>
  <si>
    <t>AHU: Inside - Single - 6,400 CFM</t>
  </si>
  <si>
    <t>AHU: Outside - Multizone - 6,400 CFM</t>
  </si>
  <si>
    <t>AHU: Outside - Single - 6,400 CFM</t>
  </si>
  <si>
    <t>0.93 SF Louver</t>
  </si>
  <si>
    <t>AHU: Inside - Multizone - 3,200 CFM</t>
  </si>
  <si>
    <t>AHU: Inside - Single - 3,200 CFM</t>
  </si>
  <si>
    <t>AHU: Outside - Multizone - 3,200 CFM</t>
  </si>
  <si>
    <t>AHU: Outside - Single - 3,200 CFM</t>
  </si>
  <si>
    <t>Duct through shaft to unit</t>
  </si>
  <si>
    <t>CT Cabinet - 800A</t>
  </si>
  <si>
    <t>Service Switch - 800A</t>
  </si>
  <si>
    <t>CT Cabinet - 400A</t>
  </si>
  <si>
    <t>Service Switch - 400A</t>
  </si>
  <si>
    <t>Sub - meter</t>
  </si>
  <si>
    <t>Branch Circuiting</t>
  </si>
  <si>
    <t>Emergency light fixtures (90 min battery pack)</t>
  </si>
  <si>
    <t>CT Cabinet - 200A</t>
  </si>
  <si>
    <t>Service Switch - 200A</t>
  </si>
  <si>
    <t>CT Cabinet - 150A</t>
  </si>
  <si>
    <t>Service Switch - 150A</t>
  </si>
  <si>
    <t>CT Cabinet - 100A</t>
  </si>
  <si>
    <t>Service Switch - 100A</t>
  </si>
  <si>
    <t>15 KW natural gas generator + 60A 3pole disconnect switch</t>
  </si>
  <si>
    <t>Domestic water piping to unit - 3" Copper</t>
  </si>
  <si>
    <t>Water distribution Hot - 3" Copper</t>
  </si>
  <si>
    <t>Storage tank (200 gallons)</t>
  </si>
  <si>
    <t>4" PVC capped waste pipe</t>
  </si>
  <si>
    <t>2" Cap Vent</t>
  </si>
  <si>
    <t>Grease interceptor</t>
  </si>
  <si>
    <t>3" gas pipe</t>
  </si>
  <si>
    <t>Sprinklers</t>
  </si>
  <si>
    <t>Water distribution Cold - 3" Copper</t>
  </si>
  <si>
    <t>4" Copper pipe</t>
  </si>
  <si>
    <t>10 KW natural gas generator + 30A 3pole disconnect switch</t>
  </si>
  <si>
    <t>Roof Top Condenser unit</t>
  </si>
  <si>
    <t>5 KW gas generator with 15A 3pole disconnect switch</t>
  </si>
  <si>
    <t>3.5 KW natural gas generator + 15A 3 pole disconnect switch</t>
  </si>
  <si>
    <t>9 SF Louver</t>
  </si>
  <si>
    <t>1.84 Sf Louver</t>
  </si>
  <si>
    <t>2.5 KW natural gas generator + 20A 3 pole disconnect switch</t>
  </si>
  <si>
    <t>Interceptor - wire basket</t>
  </si>
  <si>
    <t>115 V 2 psi steam; 620 MBH  Rsmeans: 238239164366</t>
  </si>
  <si>
    <t>Cast Iron body steam trap, 1 1/4". Rsmenas</t>
  </si>
  <si>
    <t>Depends on system and manufacturer</t>
  </si>
  <si>
    <t>RS Means Welded 1" black sch 40 steel</t>
  </si>
  <si>
    <t xml:space="preserve">Assumes specialty fabricated flue and installation </t>
  </si>
  <si>
    <t>Confirm tons and capacity: and refrigant</t>
  </si>
  <si>
    <t>Assume $15/lb, duct is 1' x 1.5', @ 2.66lbs/sf</t>
  </si>
  <si>
    <t>Check quantity: cost here is per fan installed</t>
  </si>
  <si>
    <t>Assumes approx 3sf duct louver at surface</t>
  </si>
  <si>
    <t xml:space="preserve">Assumption: depends on design </t>
  </si>
  <si>
    <t>Non-stainless steel</t>
  </si>
  <si>
    <t>Assumes Type L Copper Pipe + 50% cost inc for valves and fittings</t>
  </si>
  <si>
    <t xml:space="preserve">Assumed 30LF </t>
  </si>
  <si>
    <t>Assumed 30 LF / bathroom</t>
  </si>
  <si>
    <t>Assumes Sch. 40 4" diam + 50% cost inc for valves and fittings</t>
  </si>
  <si>
    <t>Assumes Sch. 40 2" diam + 50% cost inc for valves and fittings</t>
  </si>
  <si>
    <t>Assumes Sch. 40 6" diam + 50% cost inc for valves and fittings</t>
  </si>
  <si>
    <t>Assumed Stainless Steel 2" diam Sch. 40 + 50% cost inc for valves and fittings</t>
  </si>
  <si>
    <t>Assumed 3" Black Steel Sch. 40 + 50% cost inc for valves and fittings</t>
  </si>
  <si>
    <t>Item</t>
  </si>
  <si>
    <t>Full service restaurant</t>
  </si>
  <si>
    <t>Inclued in AHU line item</t>
  </si>
  <si>
    <t>Included in AHU line item</t>
  </si>
  <si>
    <t>Included in  AHU line item</t>
  </si>
  <si>
    <t>Add 25% for grills, connections, pad, installation misc.</t>
  </si>
  <si>
    <t>MBH</t>
  </si>
  <si>
    <t>Incremental Base Building Heat Source Increase by x MBH</t>
  </si>
  <si>
    <t xml:space="preserve">Cost Summary </t>
  </si>
  <si>
    <t>Cost Range</t>
  </si>
  <si>
    <t>Area</t>
  </si>
  <si>
    <t>Likely</t>
  </si>
  <si>
    <t>$/SF Likely</t>
  </si>
  <si>
    <t>Retail Use</t>
  </si>
  <si>
    <t>Low -20%</t>
  </si>
  <si>
    <t>High +50%</t>
  </si>
  <si>
    <t xml:space="preserve">Design
 Guidelines
 for
 Retail
 and
 Other
 Ground
 Floor
 Uses
 In
 Affordable
 Housing
 Developments, Design Trust </t>
  </si>
  <si>
    <t xml:space="preserve">This estimate assumes the engineering features would be installed as part of a "New" or "Initial Build" construction project and excludes any initial contractor mobilization costs that would be needed if these features were to be procured individually.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</si>
</sst>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4" formatCode="_(&quot;$&quot;* #,##0.00_);_(&quot;$&quot;* \(#,##0.00\);_(&quot;$&quot;* &quot;-&quot;??_);_(@_)"/>
    <numFmt numFmtId="43" formatCode="_(* #,##0.00_);_(* \(#,##0.00\);_(* &quot;-&quot;??_);_(@_)"/>
    <numFmt numFmtId="164" formatCode="_(* #,##0_);_(* \(#,##0\);_(* &quot;-&quot;??_);_(@_)"/>
    <numFmt numFmtId="165" formatCode="0.0000"/>
    <numFmt numFmtId="166" formatCode="0\ &quot;CFM&quot;"/>
    <numFmt numFmtId="167" formatCode="0\ &quot;SF&quot;"/>
    <numFmt numFmtId="168" formatCode="&quot;$&quot;\ 0.00\ &quot;/ SF&quot;"/>
    <numFmt numFmtId="169" formatCode="_-* #,##0.00_-;\-* #,##0.00_-;_-* &quot;-&quot;??_-;_-@_-"/>
    <numFmt numFmtId="170" formatCode="_(&quot;$&quot;* #,##0_);_(&quot;$&quot;* \(#,##0\);_(&quot;$&quot;* &quot;-&quot;??_);_(@_)"/>
    <numFmt numFmtId="171" formatCode="[$-409]mmmm\ d\,\ yyyy;@"/>
    <numFmt numFmtId="172" formatCode="00000"/>
    <numFmt numFmtId="173" formatCode="dd\-mmm\-yy_)"/>
    <numFmt numFmtId="174" formatCode="&quot;$&quot;\ 0\ &quot;/ SF&quot;"/>
  </numFmts>
  <fonts count="54" x14ac:knownFonts="1">
    <font>
      <sz val="11"/>
      <color theme="1"/>
      <name val="Calibri"/>
      <family val="2"/>
      <scheme val="minor"/>
    </font>
    <font>
      <sz val="11"/>
      <color theme="1"/>
      <name val="Calibri"/>
      <family val="2"/>
      <scheme val="minor"/>
    </font>
    <font>
      <sz val="10"/>
      <name val="Arial"/>
      <family val="2"/>
    </font>
    <font>
      <b/>
      <sz val="10"/>
      <name val="Arial"/>
      <family val="2"/>
    </font>
    <font>
      <b/>
      <sz val="11"/>
      <color theme="1"/>
      <name val="Times New Roman"/>
      <family val="1"/>
    </font>
    <font>
      <sz val="11"/>
      <color theme="1"/>
      <name val="Times New Roman"/>
      <family val="1"/>
    </font>
    <font>
      <b/>
      <sz val="18"/>
      <color theme="1"/>
      <name val="Times New Roman"/>
      <family val="1"/>
    </font>
    <font>
      <sz val="10"/>
      <color theme="1"/>
      <name val="Times New Roman"/>
      <family val="1"/>
    </font>
    <font>
      <b/>
      <sz val="10"/>
      <color theme="1"/>
      <name val="Times New Roman"/>
      <family val="1"/>
    </font>
    <font>
      <u/>
      <sz val="11"/>
      <color theme="1"/>
      <name val="Times New Roman"/>
      <family val="1"/>
    </font>
    <font>
      <b/>
      <sz val="12"/>
      <color theme="1"/>
      <name val="Times New Roman"/>
      <family val="1"/>
    </font>
    <font>
      <u/>
      <sz val="11"/>
      <color theme="10"/>
      <name val="Calibri"/>
      <family val="2"/>
      <scheme val="minor"/>
    </font>
    <font>
      <sz val="11"/>
      <name val="Times New Roman"/>
      <family val="1"/>
    </font>
    <font>
      <sz val="12"/>
      <color theme="1"/>
      <name val="Calibri"/>
      <family val="2"/>
      <scheme val="minor"/>
    </font>
    <font>
      <sz val="12"/>
      <color theme="1"/>
      <name val="Times New Roman"/>
      <family val="1"/>
    </font>
    <font>
      <b/>
      <sz val="14"/>
      <name val="Times New Roman"/>
      <family val="1"/>
    </font>
    <font>
      <sz val="11"/>
      <color rgb="FFFF0000"/>
      <name val="Times New Roman"/>
      <family val="1"/>
    </font>
    <font>
      <sz val="12"/>
      <name val="Times New Roman"/>
      <family val="1"/>
    </font>
    <font>
      <b/>
      <sz val="12"/>
      <name val="Times New Roman"/>
      <family val="1"/>
    </font>
    <font>
      <b/>
      <sz val="11"/>
      <name val="Times New Roman"/>
      <family val="1"/>
    </font>
    <font>
      <sz val="10"/>
      <name val="Times New Roman"/>
      <family val="1"/>
    </font>
    <font>
      <u/>
      <sz val="10"/>
      <color theme="10"/>
      <name val="Arial"/>
      <family val="2"/>
    </font>
    <font>
      <b/>
      <i/>
      <sz val="11"/>
      <name val="Times New Roman"/>
      <family val="1"/>
    </font>
    <font>
      <i/>
      <sz val="11"/>
      <color theme="1"/>
      <name val="Times New Roman"/>
      <family val="1"/>
    </font>
    <font>
      <b/>
      <i/>
      <sz val="11"/>
      <color theme="1"/>
      <name val="Times New Roman"/>
      <family val="1"/>
    </font>
    <font>
      <sz val="11"/>
      <name val="Calibri"/>
      <family val="2"/>
    </font>
    <font>
      <sz val="11"/>
      <color rgb="FFFF0000"/>
      <name val="Calibri"/>
      <family val="2"/>
    </font>
    <font>
      <b/>
      <sz val="11"/>
      <color rgb="FF0070C0"/>
      <name val="Calibri"/>
      <family val="2"/>
    </font>
    <font>
      <sz val="11"/>
      <color rgb="FF0070C0"/>
      <name val="Calibri"/>
      <family val="2"/>
    </font>
    <font>
      <sz val="12"/>
      <name val="Calibri"/>
      <family val="2"/>
    </font>
    <font>
      <b/>
      <sz val="12"/>
      <name val="Calibri"/>
      <family val="2"/>
    </font>
    <font>
      <sz val="11"/>
      <color rgb="FF00B0F0"/>
      <name val="Calibri"/>
      <family val="2"/>
    </font>
    <font>
      <b/>
      <sz val="10"/>
      <name val="Calibri"/>
      <family val="2"/>
    </font>
    <font>
      <sz val="14"/>
      <name val="Calibri"/>
      <family val="2"/>
    </font>
    <font>
      <b/>
      <sz val="16"/>
      <name val="Calibri"/>
      <family val="2"/>
    </font>
    <font>
      <u/>
      <sz val="10"/>
      <color indexed="12"/>
      <name val="MS Sans Serif"/>
      <family val="2"/>
    </font>
    <font>
      <u/>
      <sz val="10"/>
      <color indexed="12"/>
      <name val="Arial"/>
      <family val="2"/>
    </font>
    <font>
      <sz val="10"/>
      <name val="MS Sans Serif"/>
    </font>
    <font>
      <sz val="10"/>
      <color theme="1"/>
      <name val="Times New Roman"/>
      <family val="2"/>
    </font>
    <font>
      <b/>
      <sz val="10"/>
      <name val="MS Sans Serif"/>
    </font>
    <font>
      <u/>
      <sz val="10"/>
      <color indexed="12"/>
      <name val="Times New Roman"/>
      <family val="1"/>
    </font>
    <font>
      <i/>
      <sz val="10"/>
      <color theme="1"/>
      <name val="Times New Roman"/>
      <family val="1"/>
    </font>
    <font>
      <i/>
      <sz val="10"/>
      <name val="Times New Roman"/>
      <family val="1"/>
    </font>
    <font>
      <b/>
      <sz val="15"/>
      <color theme="1"/>
      <name val="Times New Roman"/>
      <family val="1"/>
    </font>
    <font>
      <b/>
      <sz val="13"/>
      <color theme="1"/>
      <name val="Times New Roman"/>
      <family val="1"/>
    </font>
    <font>
      <sz val="15"/>
      <color theme="1"/>
      <name val="Times New Roman"/>
      <family val="1"/>
    </font>
    <font>
      <b/>
      <sz val="15"/>
      <name val="Times New Roman"/>
      <family val="1"/>
    </font>
    <font>
      <b/>
      <sz val="14"/>
      <color theme="1"/>
      <name val="Times New Roman"/>
      <family val="1"/>
    </font>
    <font>
      <b/>
      <u/>
      <sz val="11"/>
      <name val="Times New Roman"/>
      <family val="1"/>
    </font>
    <font>
      <u/>
      <sz val="10"/>
      <color theme="10"/>
      <name val="Calibri"/>
      <family val="2"/>
      <scheme val="minor"/>
    </font>
    <font>
      <sz val="10"/>
      <color theme="1"/>
      <name val="Calibri"/>
      <family val="2"/>
      <scheme val="minor"/>
    </font>
    <font>
      <u/>
      <sz val="10"/>
      <color theme="1"/>
      <name val="Times New Roman"/>
      <family val="1"/>
    </font>
    <font>
      <b/>
      <sz val="11"/>
      <color theme="1"/>
      <name val="Calibri"/>
      <family val="2"/>
      <scheme val="minor"/>
    </font>
    <font>
      <b/>
      <i/>
      <sz val="9"/>
      <color theme="1"/>
      <name val="Times New Roman"/>
      <family val="1"/>
    </font>
  </fonts>
  <fills count="2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BFDFB"/>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auto="1"/>
      </left>
      <right/>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medium">
        <color theme="0" tint="-0.499984740745262"/>
      </top>
      <bottom/>
      <diagonal/>
    </border>
    <border>
      <left/>
      <right style="thin">
        <color theme="0" tint="-0.499984740745262"/>
      </right>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medium">
        <color theme="8" tint="-0.499984740745262"/>
      </left>
      <right style="thin">
        <color theme="4" tint="-0.249977111117893"/>
      </right>
      <top style="thin">
        <color theme="4" tint="-0.249977111117893"/>
      </top>
      <bottom style="thin">
        <color theme="4" tint="-0.249977111117893"/>
      </bottom>
      <diagonal/>
    </border>
    <border>
      <left style="thin">
        <color theme="4" tint="-0.249977111117893"/>
      </left>
      <right style="medium">
        <color theme="8" tint="-0.499984740745262"/>
      </right>
      <top style="thin">
        <color theme="4" tint="-0.249977111117893"/>
      </top>
      <bottom style="thin">
        <color theme="4" tint="-0.249977111117893"/>
      </bottom>
      <diagonal/>
    </border>
    <border>
      <left style="medium">
        <color theme="8" tint="-0.499984740745262"/>
      </left>
      <right style="thin">
        <color theme="4" tint="-0.249977111117893"/>
      </right>
      <top style="thin">
        <color theme="4" tint="-0.249977111117893"/>
      </top>
      <bottom style="medium">
        <color theme="8" tint="-0.499984740745262"/>
      </bottom>
      <diagonal/>
    </border>
    <border>
      <left style="thin">
        <color theme="4" tint="-0.249977111117893"/>
      </left>
      <right style="thin">
        <color theme="4" tint="-0.249977111117893"/>
      </right>
      <top style="thin">
        <color theme="4" tint="-0.249977111117893"/>
      </top>
      <bottom style="medium">
        <color theme="8" tint="-0.499984740745262"/>
      </bottom>
      <diagonal/>
    </border>
    <border>
      <left style="thin">
        <color theme="4" tint="-0.249977111117893"/>
      </left>
      <right style="medium">
        <color theme="8" tint="-0.499984740745262"/>
      </right>
      <top style="thin">
        <color theme="4" tint="-0.249977111117893"/>
      </top>
      <bottom style="medium">
        <color theme="8" tint="-0.499984740745262"/>
      </bottom>
      <diagonal/>
    </border>
    <border>
      <left style="medium">
        <color theme="8" tint="-0.499984740745262"/>
      </left>
      <right style="thin">
        <color theme="4" tint="-0.249977111117893"/>
      </right>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medium">
        <color theme="8" tint="-0.499984740745262"/>
      </right>
      <top/>
      <bottom style="thin">
        <color theme="4" tint="-0.249977111117893"/>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5" tint="-0.499984740745262"/>
      </right>
      <top style="medium">
        <color theme="0" tint="-0.34998626667073579"/>
      </top>
      <bottom/>
      <diagonal/>
    </border>
    <border>
      <left style="thin">
        <color theme="5" tint="-0.499984740745262"/>
      </left>
      <right style="thin">
        <color theme="5" tint="-0.499984740745262"/>
      </right>
      <top style="medium">
        <color theme="0" tint="-0.34998626667073579"/>
      </top>
      <bottom/>
      <diagonal/>
    </border>
    <border>
      <left style="thin">
        <color theme="5" tint="-0.499984740745262"/>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style="thin">
        <color theme="5" tint="-0.499984740745262"/>
      </left>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2" fillId="0" borderId="0"/>
    <xf numFmtId="169" fontId="2" fillId="0" borderId="0" applyFont="0" applyFill="0" applyBorder="0" applyAlignment="0" applyProtection="0"/>
    <xf numFmtId="0" fontId="2" fillId="0" borderId="0"/>
    <xf numFmtId="0" fontId="21"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0" fontId="17" fillId="0" borderId="0"/>
    <xf numFmtId="0" fontId="17" fillId="0" borderId="0"/>
    <xf numFmtId="0" fontId="2" fillId="0" borderId="0"/>
    <xf numFmtId="0" fontId="35" fillId="0" borderId="0" applyNumberFormat="0" applyFill="0" applyBorder="0" applyAlignment="0" applyProtection="0">
      <alignment vertical="top"/>
      <protection locked="0"/>
    </xf>
    <xf numFmtId="0" fontId="17" fillId="0" borderId="0"/>
    <xf numFmtId="0" fontId="36" fillId="0" borderId="0" applyNumberFormat="0" applyFill="0" applyBorder="0" applyAlignment="0" applyProtection="0">
      <alignment vertical="top"/>
      <protection locked="0"/>
    </xf>
    <xf numFmtId="43" fontId="2" fillId="0" borderId="0" applyFont="0" applyFill="0" applyBorder="0" applyAlignment="0" applyProtection="0"/>
    <xf numFmtId="0" fontId="37" fillId="0" borderId="0"/>
    <xf numFmtId="0" fontId="38" fillId="0" borderId="0" applyFont="0" applyFill="0" applyBorder="0" applyAlignment="0" applyProtection="0"/>
  </cellStyleXfs>
  <cellXfs count="1300">
    <xf numFmtId="0" fontId="0" fillId="0" borderId="0" xfId="0"/>
    <xf numFmtId="3" fontId="0" fillId="0" borderId="0" xfId="0" applyNumberFormat="1"/>
    <xf numFmtId="0" fontId="0" fillId="0" borderId="0" xfId="0" applyAlignment="1">
      <alignment horizontal="right"/>
    </xf>
    <xf numFmtId="0" fontId="0" fillId="0" borderId="16" xfId="0" applyBorder="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3" fontId="0" fillId="0" borderId="17" xfId="0" applyNumberFormat="1" applyBorder="1" applyAlignment="1">
      <alignment horizontal="center" vertical="center"/>
    </xf>
    <xf numFmtId="3" fontId="0" fillId="0" borderId="18" xfId="0" applyNumberFormat="1" applyBorder="1" applyAlignment="1">
      <alignment horizontal="center" vertical="center"/>
    </xf>
    <xf numFmtId="3" fontId="0" fillId="0" borderId="19" xfId="0" applyNumberFormat="1" applyBorder="1" applyAlignment="1">
      <alignment horizontal="center" vertical="center"/>
    </xf>
    <xf numFmtId="3" fontId="0" fillId="0" borderId="20" xfId="0" applyNumberFormat="1" applyBorder="1" applyAlignment="1">
      <alignment horizontal="center" vertical="center"/>
    </xf>
    <xf numFmtId="0" fontId="0" fillId="0" borderId="6"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3" fontId="0" fillId="0" borderId="21" xfId="0" applyNumberFormat="1" applyBorder="1" applyAlignment="1">
      <alignment horizontal="center" vertical="center"/>
    </xf>
    <xf numFmtId="3" fontId="0" fillId="0" borderId="2" xfId="0" applyNumberFormat="1" applyBorder="1" applyAlignment="1">
      <alignment horizontal="center" vertical="center"/>
    </xf>
    <xf numFmtId="0" fontId="0" fillId="0" borderId="1" xfId="0" applyBorder="1" applyAlignment="1">
      <alignment horizontal="center"/>
    </xf>
    <xf numFmtId="0" fontId="3" fillId="0" borderId="1" xfId="0" applyFont="1" applyBorder="1"/>
    <xf numFmtId="0" fontId="2" fillId="0" borderId="1" xfId="0" applyFont="1" applyBorder="1"/>
    <xf numFmtId="165" fontId="0" fillId="0" borderId="1" xfId="0" applyNumberFormat="1" applyBorder="1"/>
    <xf numFmtId="0" fontId="0" fillId="0" borderId="1" xfId="0" applyBorder="1"/>
    <xf numFmtId="0" fontId="2" fillId="0" borderId="0" xfId="0" applyFont="1"/>
    <xf numFmtId="1" fontId="0" fillId="0" borderId="17" xfId="0" applyNumberFormat="1" applyBorder="1" applyAlignment="1">
      <alignment horizontal="center" vertical="center"/>
    </xf>
    <xf numFmtId="1" fontId="0" fillId="0" borderId="1" xfId="0" applyNumberFormat="1" applyBorder="1" applyAlignment="1">
      <alignment horizontal="center" vertical="center"/>
    </xf>
    <xf numFmtId="0" fontId="4" fillId="0" borderId="0" xfId="0" applyFont="1"/>
    <xf numFmtId="0" fontId="5" fillId="0" borderId="0" xfId="0" applyFont="1" applyAlignment="1">
      <alignment vertical="top" wrapText="1"/>
    </xf>
    <xf numFmtId="0" fontId="5" fillId="0" borderId="0" xfId="0" applyFont="1" applyAlignment="1">
      <alignment horizontal="left" vertical="top" wrapText="1"/>
    </xf>
    <xf numFmtId="44" fontId="5" fillId="0" borderId="0" xfId="2" applyFont="1" applyAlignment="1">
      <alignment horizontal="left" vertical="top" wrapText="1"/>
    </xf>
    <xf numFmtId="0" fontId="5" fillId="0" borderId="0" xfId="0" applyFont="1" applyFill="1" applyBorder="1" applyAlignment="1">
      <alignment horizontal="left" vertical="top" wrapText="1"/>
    </xf>
    <xf numFmtId="0" fontId="5" fillId="0" borderId="0" xfId="0" applyFont="1" applyAlignment="1">
      <alignment wrapText="1"/>
    </xf>
    <xf numFmtId="0" fontId="5" fillId="0" borderId="0" xfId="0" applyFont="1"/>
    <xf numFmtId="0" fontId="4" fillId="0" borderId="1" xfId="0" applyFont="1" applyBorder="1" applyAlignment="1">
      <alignment wrapText="1"/>
    </xf>
    <xf numFmtId="44" fontId="4" fillId="9" borderId="1" xfId="2" applyFont="1" applyFill="1" applyBorder="1" applyAlignment="1">
      <alignment vertical="top"/>
    </xf>
    <xf numFmtId="44" fontId="4" fillId="5" borderId="1" xfId="2" applyFont="1" applyFill="1" applyBorder="1" applyAlignment="1">
      <alignment vertical="top"/>
    </xf>
    <xf numFmtId="44" fontId="4" fillId="2" borderId="1" xfId="2" applyFont="1" applyFill="1" applyBorder="1" applyAlignment="1">
      <alignment vertical="top"/>
    </xf>
    <xf numFmtId="44" fontId="4" fillId="8" borderId="1" xfId="2" applyFont="1" applyFill="1" applyBorder="1" applyAlignment="1">
      <alignment vertical="top"/>
    </xf>
    <xf numFmtId="44" fontId="4" fillId="6" borderId="1" xfId="2" applyFont="1" applyFill="1" applyBorder="1" applyAlignment="1">
      <alignment vertical="top"/>
    </xf>
    <xf numFmtId="44" fontId="4" fillId="7" borderId="1" xfId="2" applyFont="1" applyFill="1" applyBorder="1" applyAlignment="1">
      <alignment vertical="top"/>
    </xf>
    <xf numFmtId="44" fontId="4" fillId="11" borderId="1" xfId="2" applyFont="1" applyFill="1" applyBorder="1" applyAlignment="1">
      <alignment vertical="top"/>
    </xf>
    <xf numFmtId="164" fontId="5" fillId="9" borderId="1" xfId="1" applyNumberFormat="1" applyFont="1" applyFill="1" applyBorder="1" applyAlignment="1">
      <alignment horizontal="left" vertical="top" wrapText="1"/>
    </xf>
    <xf numFmtId="164" fontId="5" fillId="5" borderId="1" xfId="1" applyNumberFormat="1" applyFont="1" applyFill="1" applyBorder="1" applyAlignment="1">
      <alignment horizontal="left" vertical="top" wrapText="1"/>
    </xf>
    <xf numFmtId="44" fontId="5" fillId="5" borderId="1" xfId="2" applyFont="1" applyFill="1" applyBorder="1" applyAlignment="1">
      <alignment horizontal="left" vertical="top" wrapText="1"/>
    </xf>
    <xf numFmtId="164" fontId="5" fillId="2" borderId="1" xfId="1" applyNumberFormat="1" applyFont="1" applyFill="1" applyBorder="1" applyAlignment="1">
      <alignment horizontal="left" vertical="top" wrapText="1"/>
    </xf>
    <xf numFmtId="44" fontId="5" fillId="2" borderId="1" xfId="2" applyFont="1" applyFill="1" applyBorder="1" applyAlignment="1">
      <alignment horizontal="left" vertical="top" wrapText="1"/>
    </xf>
    <xf numFmtId="164" fontId="5" fillId="8" borderId="1" xfId="1" applyNumberFormat="1" applyFont="1" applyFill="1" applyBorder="1" applyAlignment="1">
      <alignment horizontal="left" vertical="top" wrapText="1"/>
    </xf>
    <xf numFmtId="44" fontId="5" fillId="8" borderId="1" xfId="2" applyFont="1" applyFill="1" applyBorder="1" applyAlignment="1">
      <alignment horizontal="left" vertical="top" wrapText="1"/>
    </xf>
    <xf numFmtId="164" fontId="5" fillId="6" borderId="1" xfId="1" applyNumberFormat="1" applyFont="1" applyFill="1" applyBorder="1" applyAlignment="1">
      <alignment horizontal="left" vertical="top" wrapText="1"/>
    </xf>
    <xf numFmtId="44" fontId="5" fillId="6" borderId="1" xfId="2" applyFont="1" applyFill="1" applyBorder="1" applyAlignment="1">
      <alignment horizontal="left" vertical="top" wrapText="1"/>
    </xf>
    <xf numFmtId="164" fontId="5" fillId="7" borderId="1" xfId="1" applyNumberFormat="1" applyFont="1" applyFill="1" applyBorder="1" applyAlignment="1">
      <alignment horizontal="left" vertical="top" wrapText="1"/>
    </xf>
    <xf numFmtId="44" fontId="5" fillId="7" borderId="1" xfId="2" applyFont="1" applyFill="1" applyBorder="1" applyAlignment="1">
      <alignment horizontal="left" vertical="top" wrapText="1"/>
    </xf>
    <xf numFmtId="164" fontId="5" fillId="11" borderId="1" xfId="1" applyNumberFormat="1" applyFont="1" applyFill="1" applyBorder="1" applyAlignment="1">
      <alignment horizontal="left" vertical="top" wrapText="1"/>
    </xf>
    <xf numFmtId="44" fontId="5" fillId="11" borderId="1" xfId="2" applyFont="1" applyFill="1" applyBorder="1" applyAlignment="1">
      <alignment horizontal="left" vertical="top" wrapText="1"/>
    </xf>
    <xf numFmtId="164" fontId="5" fillId="4" borderId="2" xfId="1" applyNumberFormat="1" applyFont="1" applyFill="1" applyBorder="1" applyAlignment="1">
      <alignment horizontal="left" vertical="top" wrapText="1"/>
    </xf>
    <xf numFmtId="0" fontId="5" fillId="9" borderId="1" xfId="0" applyFont="1" applyFill="1" applyBorder="1" applyAlignment="1">
      <alignment horizontal="left" vertical="top" wrapText="1"/>
    </xf>
    <xf numFmtId="44" fontId="5" fillId="9" borderId="1" xfId="2" applyFont="1" applyFill="1" applyBorder="1" applyAlignment="1">
      <alignment horizontal="left" vertical="top" wrapText="1"/>
    </xf>
    <xf numFmtId="0" fontId="5" fillId="5"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0" xfId="0" applyFont="1" applyAlignment="1">
      <alignment horizontal="center"/>
    </xf>
    <xf numFmtId="0" fontId="4" fillId="0" borderId="1" xfId="0" applyFont="1" applyBorder="1" applyAlignment="1">
      <alignment horizontal="center" wrapText="1"/>
    </xf>
    <xf numFmtId="0" fontId="6" fillId="0" borderId="0" xfId="0" applyFont="1"/>
    <xf numFmtId="0" fontId="6" fillId="10" borderId="1" xfId="0" applyFont="1" applyFill="1" applyBorder="1" applyAlignment="1">
      <alignment horizontal="left" vertical="top" wrapText="1"/>
    </xf>
    <xf numFmtId="44" fontId="6" fillId="10" borderId="1" xfId="2" applyFont="1" applyFill="1" applyBorder="1" applyAlignment="1">
      <alignment horizontal="left" vertical="top" wrapText="1"/>
    </xf>
    <xf numFmtId="0" fontId="6" fillId="10" borderId="1" xfId="0" applyFont="1" applyFill="1" applyBorder="1" applyAlignment="1">
      <alignment wrapText="1"/>
    </xf>
    <xf numFmtId="0" fontId="7" fillId="0" borderId="1" xfId="0" applyFont="1" applyFill="1" applyBorder="1" applyAlignment="1">
      <alignment horizontal="left" vertical="top" wrapText="1"/>
    </xf>
    <xf numFmtId="0" fontId="7" fillId="12"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0" borderId="0" xfId="0" applyFont="1" applyFill="1"/>
    <xf numFmtId="0" fontId="7" fillId="0" borderId="1" xfId="0" applyFont="1" applyFill="1" applyBorder="1" applyAlignment="1">
      <alignment vertical="top" wrapText="1"/>
    </xf>
    <xf numFmtId="0" fontId="7" fillId="0" borderId="1" xfId="0" applyFont="1" applyFill="1" applyBorder="1" applyAlignment="1">
      <alignment wrapText="1"/>
    </xf>
    <xf numFmtId="0" fontId="7" fillId="13" borderId="1" xfId="0" applyFont="1" applyFill="1" applyBorder="1" applyAlignment="1">
      <alignment vertical="top" wrapText="1"/>
    </xf>
    <xf numFmtId="0" fontId="4" fillId="0" borderId="0" xfId="0" applyFont="1" applyAlignment="1">
      <alignment horizontal="center" vertical="center"/>
    </xf>
    <xf numFmtId="0" fontId="5" fillId="0" borderId="0" xfId="0" applyFont="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0" xfId="0" applyFont="1" applyFill="1" applyAlignment="1">
      <alignment vertical="center"/>
    </xf>
    <xf numFmtId="0" fontId="7" fillId="0" borderId="0" xfId="0" applyFont="1" applyFill="1" applyAlignment="1">
      <alignment vertical="center"/>
    </xf>
    <xf numFmtId="0" fontId="8" fillId="0" borderId="0" xfId="0" applyFont="1" applyFill="1"/>
    <xf numFmtId="44" fontId="7" fillId="0" borderId="1" xfId="2" applyFont="1" applyFill="1" applyBorder="1" applyAlignment="1">
      <alignment horizontal="left" vertical="top" wrapText="1"/>
    </xf>
    <xf numFmtId="0" fontId="8" fillId="0" borderId="0" xfId="0" applyFont="1"/>
    <xf numFmtId="0" fontId="7" fillId="0" borderId="0" xfId="0" applyFont="1"/>
    <xf numFmtId="44" fontId="7" fillId="5" borderId="1" xfId="2" applyFont="1" applyFill="1" applyBorder="1" applyAlignment="1">
      <alignment horizontal="left" vertical="top" wrapText="1"/>
    </xf>
    <xf numFmtId="0" fontId="7" fillId="5" borderId="1" xfId="0" applyFont="1" applyFill="1" applyBorder="1" applyAlignment="1">
      <alignment wrapText="1"/>
    </xf>
    <xf numFmtId="0" fontId="5" fillId="0" borderId="0" xfId="0" applyFont="1" applyAlignment="1">
      <alignment horizontal="right"/>
    </xf>
    <xf numFmtId="0" fontId="5" fillId="0" borderId="0" xfId="0" applyFont="1" applyAlignment="1">
      <alignment horizontal="center"/>
    </xf>
    <xf numFmtId="0" fontId="4" fillId="3" borderId="0" xfId="0" applyFont="1" applyFill="1" applyBorder="1" applyAlignment="1">
      <alignment horizontal="left"/>
    </xf>
    <xf numFmtId="0" fontId="4" fillId="0" borderId="0" xfId="0" applyFont="1" applyFill="1" applyBorder="1" applyAlignment="1">
      <alignment horizontal="center" vertical="center"/>
    </xf>
    <xf numFmtId="44" fontId="5" fillId="0" borderId="0" xfId="2" applyFont="1"/>
    <xf numFmtId="44" fontId="5" fillId="0" borderId="25" xfId="2" applyFont="1" applyBorder="1"/>
    <xf numFmtId="44" fontId="0" fillId="0" borderId="0" xfId="2" applyFont="1"/>
    <xf numFmtId="49" fontId="5" fillId="0" borderId="0" xfId="0" applyNumberFormat="1" applyFont="1"/>
    <xf numFmtId="0" fontId="11" fillId="0" borderId="0" xfId="3"/>
    <xf numFmtId="49" fontId="0" fillId="0" borderId="0" xfId="0" applyNumberFormat="1"/>
    <xf numFmtId="44" fontId="4" fillId="4" borderId="1" xfId="2" applyFont="1" applyFill="1" applyBorder="1" applyAlignment="1">
      <alignment vertical="top"/>
    </xf>
    <xf numFmtId="44" fontId="5" fillId="4" borderId="1" xfId="2" applyFont="1" applyFill="1" applyBorder="1" applyAlignment="1">
      <alignment horizontal="left" vertical="top" wrapText="1"/>
    </xf>
    <xf numFmtId="44" fontId="7" fillId="0" borderId="1" xfId="2" applyFont="1" applyFill="1" applyBorder="1" applyAlignment="1">
      <alignment vertical="top" wrapText="1"/>
    </xf>
    <xf numFmtId="44" fontId="5" fillId="0" borderId="0" xfId="0" applyNumberFormat="1" applyFont="1"/>
    <xf numFmtId="0" fontId="4" fillId="0" borderId="0" xfId="0" applyFont="1" applyAlignment="1">
      <alignment vertical="center"/>
    </xf>
    <xf numFmtId="0" fontId="0" fillId="0" borderId="0" xfId="0" applyAlignment="1">
      <alignment vertical="center"/>
    </xf>
    <xf numFmtId="44" fontId="0" fillId="0" borderId="0" xfId="2" applyFont="1" applyAlignment="1">
      <alignment vertical="center"/>
    </xf>
    <xf numFmtId="44" fontId="5" fillId="0" borderId="0" xfId="2" applyFont="1" applyAlignment="1">
      <alignment vertical="center"/>
    </xf>
    <xf numFmtId="44" fontId="5" fillId="0" borderId="0" xfId="2" applyFont="1" applyFill="1" applyBorder="1"/>
    <xf numFmtId="0" fontId="5" fillId="0" borderId="0" xfId="0" applyFont="1" applyAlignment="1">
      <alignment vertical="center"/>
    </xf>
    <xf numFmtId="0" fontId="5" fillId="0" borderId="0" xfId="0" applyFont="1" applyFill="1" applyBorder="1"/>
    <xf numFmtId="0" fontId="5" fillId="0" borderId="0" xfId="0" applyFont="1" applyBorder="1"/>
    <xf numFmtId="0" fontId="5" fillId="0" borderId="0" xfId="0" applyFont="1" applyBorder="1" applyAlignment="1">
      <alignment wrapText="1"/>
    </xf>
    <xf numFmtId="44" fontId="5" fillId="0" borderId="0" xfId="0" applyNumberFormat="1" applyFont="1" applyBorder="1"/>
    <xf numFmtId="0" fontId="4" fillId="3" borderId="0" xfId="0" applyFont="1" applyFill="1" applyBorder="1" applyAlignment="1"/>
    <xf numFmtId="44" fontId="4" fillId="0" borderId="0" xfId="2" applyFont="1" applyFill="1" applyBorder="1" applyAlignment="1"/>
    <xf numFmtId="0" fontId="4" fillId="0" borderId="0" xfId="0" applyFont="1" applyFill="1" applyBorder="1" applyAlignment="1">
      <alignment horizontal="left" vertical="center"/>
    </xf>
    <xf numFmtId="0" fontId="4" fillId="5" borderId="0" xfId="0" applyFont="1" applyFill="1" applyBorder="1" applyAlignment="1"/>
    <xf numFmtId="0" fontId="4" fillId="5" borderId="0" xfId="0" applyFont="1" applyFill="1" applyBorder="1" applyAlignment="1">
      <alignment horizontal="left"/>
    </xf>
    <xf numFmtId="0" fontId="4" fillId="6" borderId="0" xfId="0" applyFont="1" applyFill="1" applyBorder="1" applyAlignment="1"/>
    <xf numFmtId="0" fontId="4" fillId="0" borderId="0" xfId="0" applyFont="1" applyFill="1" applyBorder="1" applyAlignment="1">
      <alignment horizontal="left"/>
    </xf>
    <xf numFmtId="44" fontId="4" fillId="0" borderId="0" xfId="2" applyFont="1" applyFill="1" applyBorder="1" applyAlignment="1">
      <alignment horizontal="center" vertical="center"/>
    </xf>
    <xf numFmtId="0" fontId="5" fillId="0" borderId="0" xfId="0" applyFont="1" applyBorder="1" applyAlignment="1">
      <alignment horizontal="center"/>
    </xf>
    <xf numFmtId="44" fontId="4" fillId="3" borderId="0" xfId="2" applyFont="1" applyFill="1" applyBorder="1" applyAlignment="1"/>
    <xf numFmtId="44" fontId="4" fillId="5" borderId="0" xfId="2" applyFont="1" applyFill="1" applyBorder="1" applyAlignment="1"/>
    <xf numFmtId="44" fontId="4" fillId="6" borderId="0" xfId="2" applyFont="1" applyFill="1" applyBorder="1" applyAlignment="1"/>
    <xf numFmtId="0" fontId="4" fillId="3" borderId="44" xfId="0" applyFont="1" applyFill="1" applyBorder="1" applyAlignment="1">
      <alignment horizontal="center" vertical="center"/>
    </xf>
    <xf numFmtId="0" fontId="4" fillId="5" borderId="44" xfId="0" applyFont="1" applyFill="1" applyBorder="1" applyAlignment="1">
      <alignment horizontal="center" vertical="center"/>
    </xf>
    <xf numFmtId="0" fontId="4" fillId="6" borderId="44" xfId="0" applyFont="1" applyFill="1" applyBorder="1" applyAlignment="1">
      <alignment horizontal="center" vertical="center"/>
    </xf>
    <xf numFmtId="0" fontId="5" fillId="0" borderId="49" xfId="0" applyFont="1" applyBorder="1" applyAlignment="1">
      <alignment horizontal="left" vertical="center"/>
    </xf>
    <xf numFmtId="44" fontId="5" fillId="0" borderId="49" xfId="2" applyFont="1" applyBorder="1"/>
    <xf numFmtId="167" fontId="4" fillId="5" borderId="27" xfId="0" applyNumberFormat="1" applyFont="1" applyFill="1" applyBorder="1" applyAlignment="1">
      <alignment horizontal="center" vertical="center"/>
    </xf>
    <xf numFmtId="44" fontId="5" fillId="0" borderId="0" xfId="0" applyNumberFormat="1" applyFont="1" applyFill="1" applyBorder="1"/>
    <xf numFmtId="167" fontId="4" fillId="2" borderId="30" xfId="0" applyNumberFormat="1" applyFont="1" applyFill="1" applyBorder="1" applyAlignment="1">
      <alignment horizontal="center" vertical="center"/>
    </xf>
    <xf numFmtId="167" fontId="4" fillId="17" borderId="30" xfId="0" applyNumberFormat="1" applyFont="1" applyFill="1" applyBorder="1" applyAlignment="1">
      <alignment horizontal="center" vertical="center"/>
    </xf>
    <xf numFmtId="167" fontId="4" fillId="8" borderId="30" xfId="0" applyNumberFormat="1" applyFont="1" applyFill="1" applyBorder="1" applyAlignment="1">
      <alignment horizontal="center" vertical="center"/>
    </xf>
    <xf numFmtId="0" fontId="4" fillId="16" borderId="39" xfId="0" applyFont="1" applyFill="1" applyBorder="1" applyAlignment="1">
      <alignment horizontal="center" vertical="center"/>
    </xf>
    <xf numFmtId="167" fontId="4" fillId="16" borderId="30" xfId="0" applyNumberFormat="1" applyFont="1" applyFill="1" applyBorder="1" applyAlignment="1">
      <alignment horizontal="center" vertical="center"/>
    </xf>
    <xf numFmtId="167" fontId="4" fillId="4" borderId="30" xfId="0" applyNumberFormat="1" applyFont="1" applyFill="1" applyBorder="1" applyAlignment="1">
      <alignment horizontal="center" vertical="center"/>
    </xf>
    <xf numFmtId="167" fontId="4" fillId="15" borderId="30" xfId="0" applyNumberFormat="1" applyFont="1" applyFill="1" applyBorder="1" applyAlignment="1">
      <alignment horizontal="center" vertical="center"/>
    </xf>
    <xf numFmtId="0" fontId="4" fillId="0" borderId="0" xfId="0" applyFont="1" applyBorder="1" applyAlignment="1">
      <alignment horizontal="left"/>
    </xf>
    <xf numFmtId="0" fontId="16" fillId="0" borderId="0" xfId="0" applyFont="1" applyBorder="1" applyAlignment="1">
      <alignment horizontal="left"/>
    </xf>
    <xf numFmtId="170" fontId="5" fillId="0" borderId="0" xfId="2" applyNumberFormat="1" applyFont="1" applyBorder="1"/>
    <xf numFmtId="170" fontId="4" fillId="9" borderId="54" xfId="0" applyNumberFormat="1" applyFont="1" applyFill="1" applyBorder="1" applyAlignment="1">
      <alignment horizontal="center" vertical="center"/>
    </xf>
    <xf numFmtId="170" fontId="4" fillId="3" borderId="0" xfId="2" applyNumberFormat="1" applyFont="1" applyFill="1" applyBorder="1" applyAlignment="1"/>
    <xf numFmtId="170" fontId="5" fillId="0" borderId="25" xfId="2" applyNumberFormat="1" applyFont="1" applyBorder="1"/>
    <xf numFmtId="170" fontId="4" fillId="5" borderId="0" xfId="2" applyNumberFormat="1" applyFont="1" applyFill="1" applyBorder="1" applyAlignment="1"/>
    <xf numFmtId="170" fontId="4" fillId="6" borderId="0" xfId="2" applyNumberFormat="1" applyFont="1" applyFill="1" applyBorder="1" applyAlignment="1"/>
    <xf numFmtId="170" fontId="5" fillId="0" borderId="49" xfId="2" applyNumberFormat="1" applyFont="1" applyBorder="1"/>
    <xf numFmtId="170" fontId="4" fillId="0" borderId="0" xfId="2" applyNumberFormat="1" applyFont="1" applyFill="1" applyBorder="1" applyAlignment="1">
      <alignment horizontal="center" vertical="center"/>
    </xf>
    <xf numFmtId="44" fontId="23" fillId="0" borderId="0" xfId="2" applyFont="1" applyBorder="1"/>
    <xf numFmtId="44" fontId="24" fillId="3" borderId="45" xfId="2" applyFont="1" applyFill="1" applyBorder="1" applyAlignment="1"/>
    <xf numFmtId="44" fontId="23" fillId="0" borderId="47" xfId="2" applyFont="1" applyBorder="1"/>
    <xf numFmtId="44" fontId="24" fillId="5" borderId="45" xfId="2" applyFont="1" applyFill="1" applyBorder="1" applyAlignment="1"/>
    <xf numFmtId="44" fontId="24" fillId="6" borderId="45" xfId="2" applyFont="1" applyFill="1" applyBorder="1" applyAlignment="1"/>
    <xf numFmtId="44" fontId="23" fillId="0" borderId="50" xfId="2" applyFont="1" applyBorder="1"/>
    <xf numFmtId="44" fontId="24" fillId="0" borderId="0" xfId="2" applyFont="1" applyFill="1" applyBorder="1" applyAlignment="1">
      <alignment horizontal="center" vertical="center"/>
    </xf>
    <xf numFmtId="0" fontId="25" fillId="0" borderId="0" xfId="11" applyFont="1" applyFill="1"/>
    <xf numFmtId="0" fontId="25" fillId="0" borderId="0" xfId="12" applyFont="1"/>
    <xf numFmtId="0" fontId="25" fillId="0" borderId="0" xfId="12" applyFont="1" applyBorder="1"/>
    <xf numFmtId="0" fontId="25" fillId="0" borderId="0" xfId="11" applyFont="1" applyBorder="1"/>
    <xf numFmtId="0" fontId="12" fillId="0" borderId="0" xfId="11" applyFont="1" applyBorder="1"/>
    <xf numFmtId="0" fontId="12" fillId="0" borderId="0" xfId="11" applyFont="1"/>
    <xf numFmtId="0" fontId="26" fillId="0" borderId="0" xfId="12" applyFont="1" applyBorder="1"/>
    <xf numFmtId="0" fontId="25" fillId="0" borderId="0" xfId="11" applyFont="1"/>
    <xf numFmtId="0" fontId="27" fillId="0" borderId="0" xfId="11" applyFont="1"/>
    <xf numFmtId="0" fontId="28" fillId="0" borderId="0" xfId="11" applyFont="1"/>
    <xf numFmtId="0" fontId="29" fillId="0" borderId="0" xfId="11" applyFont="1"/>
    <xf numFmtId="171" fontId="30" fillId="0" borderId="0" xfId="11" applyNumberFormat="1" applyFont="1" applyFill="1" applyBorder="1" applyAlignment="1"/>
    <xf numFmtId="0" fontId="29" fillId="0" borderId="0" xfId="11" applyFont="1" applyFill="1" applyBorder="1"/>
    <xf numFmtId="0" fontId="25" fillId="0" borderId="0" xfId="11" applyFont="1" applyBorder="1" applyAlignment="1"/>
    <xf numFmtId="0" fontId="25" fillId="0" borderId="0" xfId="11" applyFont="1" applyFill="1" applyBorder="1"/>
    <xf numFmtId="0" fontId="31" fillId="0" borderId="0" xfId="11" applyFont="1" applyBorder="1"/>
    <xf numFmtId="0" fontId="32" fillId="0" borderId="0" xfId="11" applyFont="1" applyFill="1" applyBorder="1"/>
    <xf numFmtId="0" fontId="33" fillId="0" borderId="0" xfId="11" applyFont="1" applyFill="1" applyBorder="1"/>
    <xf numFmtId="0" fontId="34" fillId="0" borderId="0" xfId="11" applyFont="1" applyFill="1" applyBorder="1"/>
    <xf numFmtId="0" fontId="25" fillId="0" borderId="36" xfId="11" applyFont="1" applyBorder="1"/>
    <xf numFmtId="0" fontId="7" fillId="0" borderId="0" xfId="19" applyFont="1" applyFill="1" applyAlignment="1">
      <alignment horizontal="left"/>
    </xf>
    <xf numFmtId="0" fontId="39" fillId="0" borderId="0" xfId="18" applyFont="1"/>
    <xf numFmtId="0" fontId="37" fillId="0" borderId="0" xfId="18" applyFill="1"/>
    <xf numFmtId="0" fontId="37" fillId="0" borderId="0" xfId="18"/>
    <xf numFmtId="0" fontId="15" fillId="0" borderId="0" xfId="11" applyFont="1" applyFill="1" applyBorder="1" applyAlignment="1">
      <alignment horizontal="left"/>
    </xf>
    <xf numFmtId="171" fontId="18" fillId="0" borderId="0" xfId="11" applyNumberFormat="1" applyFont="1" applyFill="1" applyBorder="1" applyAlignment="1"/>
    <xf numFmtId="0" fontId="17" fillId="0" borderId="0" xfId="11" applyFont="1" applyFill="1" applyBorder="1"/>
    <xf numFmtId="0" fontId="12" fillId="0" borderId="0" xfId="11" applyFont="1" applyFill="1" applyBorder="1"/>
    <xf numFmtId="0" fontId="19" fillId="0" borderId="0" xfId="13" applyFont="1" applyFill="1" applyAlignment="1">
      <alignment horizontal="left"/>
    </xf>
    <xf numFmtId="0" fontId="12" fillId="0" borderId="0" xfId="12" applyFont="1" applyFill="1"/>
    <xf numFmtId="0" fontId="20" fillId="0" borderId="0" xfId="13" applyFont="1" applyFill="1"/>
    <xf numFmtId="0" fontId="20" fillId="0" borderId="0" xfId="12" applyFont="1" applyFill="1"/>
    <xf numFmtId="0" fontId="20" fillId="0" borderId="0" xfId="13" applyFont="1"/>
    <xf numFmtId="0" fontId="20" fillId="0" borderId="0" xfId="12" applyFont="1"/>
    <xf numFmtId="0" fontId="40" fillId="0" borderId="0" xfId="14" applyFont="1" applyFill="1" applyAlignment="1" applyProtection="1"/>
    <xf numFmtId="0" fontId="12" fillId="0" borderId="0" xfId="11" applyFont="1" applyFill="1"/>
    <xf numFmtId="0" fontId="18" fillId="0" borderId="0" xfId="11" applyFont="1" applyFill="1" applyBorder="1" applyAlignment="1">
      <alignment horizontal="left"/>
    </xf>
    <xf numFmtId="0" fontId="17" fillId="0" borderId="0" xfId="11" applyFont="1" applyFill="1" applyBorder="1" applyAlignment="1">
      <alignment horizontal="left"/>
    </xf>
    <xf numFmtId="171" fontId="17" fillId="0" borderId="0" xfId="11" applyNumberFormat="1" applyFont="1" applyFill="1" applyBorder="1" applyAlignment="1">
      <alignment horizontal="left"/>
    </xf>
    <xf numFmtId="0" fontId="23" fillId="0" borderId="0" xfId="0" applyFont="1" applyBorder="1"/>
    <xf numFmtId="0" fontId="23" fillId="0" borderId="0" xfId="0" applyFont="1" applyFill="1" applyBorder="1"/>
    <xf numFmtId="0" fontId="22" fillId="0" borderId="0" xfId="0" applyFont="1" applyFill="1" applyBorder="1" applyAlignment="1">
      <alignment horizontal="left"/>
    </xf>
    <xf numFmtId="0" fontId="4" fillId="5" borderId="39" xfId="0" applyFont="1" applyFill="1" applyBorder="1" applyAlignment="1">
      <alignment horizontal="center" vertical="center"/>
    </xf>
    <xf numFmtId="0" fontId="4" fillId="2" borderId="39" xfId="0" applyFont="1" applyFill="1" applyBorder="1" applyAlignment="1">
      <alignment horizontal="center" vertical="center"/>
    </xf>
    <xf numFmtId="0" fontId="4" fillId="17" borderId="39" xfId="0" applyFont="1" applyFill="1" applyBorder="1" applyAlignment="1">
      <alignment horizontal="center" vertical="center"/>
    </xf>
    <xf numFmtId="0" fontId="4" fillId="8" borderId="39" xfId="0" applyFont="1" applyFill="1" applyBorder="1" applyAlignment="1">
      <alignment horizontal="center" vertical="center"/>
    </xf>
    <xf numFmtId="0" fontId="4" fillId="15" borderId="39" xfId="0" applyFont="1" applyFill="1" applyBorder="1" applyAlignment="1">
      <alignment horizontal="center" vertical="center"/>
    </xf>
    <xf numFmtId="0" fontId="4" fillId="4" borderId="39" xfId="0" applyFont="1" applyFill="1" applyBorder="1" applyAlignment="1">
      <alignment horizontal="center" vertical="center"/>
    </xf>
    <xf numFmtId="0" fontId="4" fillId="6" borderId="0" xfId="0" applyFont="1" applyFill="1" applyBorder="1" applyAlignment="1">
      <alignment horizontal="left"/>
    </xf>
    <xf numFmtId="0" fontId="5" fillId="0" borderId="25" xfId="0" applyFont="1" applyBorder="1" applyAlignment="1">
      <alignment horizontal="left" vertical="center"/>
    </xf>
    <xf numFmtId="0" fontId="7" fillId="0" borderId="0" xfId="0" applyFont="1" applyFill="1" applyBorder="1"/>
    <xf numFmtId="0" fontId="7" fillId="0" borderId="0" xfId="0" applyFont="1" applyFill="1" applyBorder="1" applyAlignment="1">
      <alignment horizontal="center" vertical="center"/>
    </xf>
    <xf numFmtId="170" fontId="7" fillId="0" borderId="0" xfId="2" applyNumberFormat="1" applyFont="1" applyFill="1" applyBorder="1" applyAlignment="1">
      <alignment horizontal="center" vertical="center"/>
    </xf>
    <xf numFmtId="44" fontId="41" fillId="0" borderId="0" xfId="2" applyFont="1" applyFill="1" applyBorder="1" applyAlignment="1">
      <alignment horizontal="center" vertical="center"/>
    </xf>
    <xf numFmtId="44" fontId="7" fillId="0" borderId="0" xfId="2" applyFont="1" applyFill="1" applyBorder="1" applyAlignment="1">
      <alignment horizontal="center" vertical="center"/>
    </xf>
    <xf numFmtId="0" fontId="20" fillId="0" borderId="0" xfId="0" applyFont="1" applyFill="1" applyBorder="1" applyAlignment="1">
      <alignment horizontal="center" vertical="center"/>
    </xf>
    <xf numFmtId="44" fontId="20" fillId="0" borderId="0" xfId="2" applyFont="1" applyFill="1" applyBorder="1" applyAlignment="1">
      <alignment horizontal="center" vertical="center"/>
    </xf>
    <xf numFmtId="44" fontId="42" fillId="0" borderId="0" xfId="2" applyFont="1" applyFill="1" applyBorder="1" applyAlignment="1">
      <alignment horizontal="center" vertical="center"/>
    </xf>
    <xf numFmtId="170" fontId="4" fillId="9" borderId="57" xfId="0" applyNumberFormat="1" applyFont="1" applyFill="1" applyBorder="1" applyAlignment="1">
      <alignment horizontal="center" vertical="center"/>
    </xf>
    <xf numFmtId="170" fontId="4" fillId="9" borderId="31" xfId="0" applyNumberFormat="1" applyFont="1" applyFill="1" applyBorder="1" applyAlignment="1">
      <alignment horizontal="center" vertical="center"/>
    </xf>
    <xf numFmtId="167" fontId="4" fillId="5" borderId="31" xfId="0" applyNumberFormat="1" applyFont="1" applyFill="1" applyBorder="1" applyAlignment="1">
      <alignment horizontal="center" vertical="center"/>
    </xf>
    <xf numFmtId="167" fontId="4" fillId="9" borderId="27" xfId="0" applyNumberFormat="1" applyFont="1" applyFill="1" applyBorder="1" applyAlignment="1">
      <alignment horizontal="center" vertical="center"/>
    </xf>
    <xf numFmtId="167" fontId="4" fillId="5" borderId="30" xfId="0" applyNumberFormat="1" applyFont="1" applyFill="1" applyBorder="1" applyAlignment="1">
      <alignment horizontal="center" vertical="center"/>
    </xf>
    <xf numFmtId="0" fontId="4" fillId="5" borderId="54" xfId="0" applyFont="1" applyFill="1" applyBorder="1" applyAlignment="1">
      <alignment horizontal="center" vertical="center"/>
    </xf>
    <xf numFmtId="44" fontId="5" fillId="0" borderId="25" xfId="2" applyFont="1" applyBorder="1" applyAlignment="1">
      <alignment horizontal="center"/>
    </xf>
    <xf numFmtId="0" fontId="19" fillId="0" borderId="0" xfId="0" applyFont="1" applyFill="1" applyBorder="1" applyAlignment="1">
      <alignment horizontal="left"/>
    </xf>
    <xf numFmtId="0" fontId="45" fillId="0" borderId="0" xfId="0" applyFont="1" applyFill="1" applyBorder="1"/>
    <xf numFmtId="44" fontId="45" fillId="0" borderId="0" xfId="0" applyNumberFormat="1" applyFont="1" applyFill="1" applyBorder="1"/>
    <xf numFmtId="0" fontId="5" fillId="0" borderId="0" xfId="0" applyFont="1" applyFill="1" applyBorder="1" applyAlignment="1">
      <alignment horizontal="right"/>
    </xf>
    <xf numFmtId="44" fontId="43" fillId="0" borderId="0" xfId="2" applyFont="1" applyFill="1" applyBorder="1" applyAlignment="1">
      <alignment horizontal="center" vertical="center"/>
    </xf>
    <xf numFmtId="44" fontId="5" fillId="0" borderId="0" xfId="2" applyFont="1" applyBorder="1"/>
    <xf numFmtId="0" fontId="5" fillId="0" borderId="0" xfId="0" applyFont="1" applyBorder="1" applyAlignment="1">
      <alignment vertical="center"/>
    </xf>
    <xf numFmtId="0" fontId="4" fillId="0" borderId="0" xfId="0" applyFont="1" applyBorder="1" applyAlignment="1">
      <alignment vertical="center"/>
    </xf>
    <xf numFmtId="49" fontId="5" fillId="0" borderId="0" xfId="0" applyNumberFormat="1" applyFont="1" applyBorder="1"/>
    <xf numFmtId="0" fontId="5" fillId="0" borderId="0" xfId="0" applyFont="1" applyBorder="1" applyAlignment="1">
      <alignment horizontal="right"/>
    </xf>
    <xf numFmtId="49" fontId="11" fillId="0" borderId="0" xfId="3" applyNumberFormat="1" applyBorder="1"/>
    <xf numFmtId="0" fontId="11" fillId="0" borderId="0" xfId="3" applyBorder="1"/>
    <xf numFmtId="0" fontId="0" fillId="0" borderId="0" xfId="0" applyBorder="1"/>
    <xf numFmtId="44" fontId="0" fillId="0" borderId="0" xfId="2" applyFont="1" applyBorder="1"/>
    <xf numFmtId="44" fontId="0" fillId="0" borderId="0" xfId="2" applyFont="1" applyBorder="1" applyAlignment="1">
      <alignment vertical="center"/>
    </xf>
    <xf numFmtId="49" fontId="0" fillId="0" borderId="0" xfId="0" applyNumberFormat="1" applyBorder="1"/>
    <xf numFmtId="44" fontId="5" fillId="0" borderId="0" xfId="2" applyFont="1" applyBorder="1" applyAlignment="1">
      <alignment vertical="center"/>
    </xf>
    <xf numFmtId="44" fontId="5" fillId="0" borderId="0" xfId="2" applyFont="1" applyBorder="1" applyAlignment="1">
      <alignment horizontal="center"/>
    </xf>
    <xf numFmtId="0" fontId="0" fillId="0" borderId="0" xfId="0" applyBorder="1" applyAlignment="1">
      <alignment vertical="center"/>
    </xf>
    <xf numFmtId="44" fontId="13" fillId="0" borderId="0" xfId="2" applyFont="1" applyBorder="1" applyAlignment="1">
      <alignment vertical="center"/>
    </xf>
    <xf numFmtId="44" fontId="14" fillId="0" borderId="0" xfId="2" applyFont="1" applyBorder="1" applyAlignment="1">
      <alignment vertical="center"/>
    </xf>
    <xf numFmtId="0" fontId="0" fillId="0" borderId="0" xfId="0" applyBorder="1" applyAlignment="1">
      <alignment horizontal="center" vertical="center"/>
    </xf>
    <xf numFmtId="44" fontId="13" fillId="0" borderId="0" xfId="2" applyFont="1" applyBorder="1" applyAlignment="1">
      <alignment horizontal="center" vertical="center"/>
    </xf>
    <xf numFmtId="44" fontId="14" fillId="0" borderId="0" xfId="2" applyFont="1" applyBorder="1" applyAlignment="1">
      <alignment horizontal="center" vertical="center"/>
    </xf>
    <xf numFmtId="0" fontId="4" fillId="5" borderId="1" xfId="0" applyFont="1" applyFill="1" applyBorder="1" applyAlignment="1">
      <alignment horizontal="center" vertical="center"/>
    </xf>
    <xf numFmtId="0" fontId="0" fillId="0" borderId="0" xfId="0" applyBorder="1" applyAlignment="1">
      <alignment horizontal="center"/>
    </xf>
    <xf numFmtId="0" fontId="0" fillId="0" borderId="0" xfId="0" applyAlignment="1">
      <alignment horizontal="center"/>
    </xf>
    <xf numFmtId="164" fontId="5" fillId="0" borderId="0" xfId="1"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Alignment="1">
      <alignment horizontal="center"/>
    </xf>
    <xf numFmtId="49" fontId="0" fillId="0" borderId="0" xfId="0" applyNumberFormat="1" applyFill="1"/>
    <xf numFmtId="49" fontId="4" fillId="0" borderId="0" xfId="2" applyNumberFormat="1" applyFont="1" applyFill="1" applyBorder="1" applyAlignment="1">
      <alignment horizontal="center" vertical="center"/>
    </xf>
    <xf numFmtId="49" fontId="5" fillId="0" borderId="0" xfId="0" applyNumberFormat="1" applyFont="1" applyFill="1"/>
    <xf numFmtId="44" fontId="4" fillId="0" borderId="0" xfId="2" applyFont="1" applyFill="1" applyBorder="1" applyAlignment="1">
      <alignment horizontal="center" vertical="center" wrapText="1"/>
    </xf>
    <xf numFmtId="0" fontId="5" fillId="18" borderId="0" xfId="0" applyFont="1" applyFill="1" applyBorder="1" applyAlignment="1">
      <alignment horizontal="center"/>
    </xf>
    <xf numFmtId="44" fontId="5" fillId="18" borderId="0" xfId="2" applyFont="1" applyFill="1" applyBorder="1"/>
    <xf numFmtId="44" fontId="5" fillId="18" borderId="0" xfId="2" applyFont="1" applyFill="1" applyBorder="1" applyAlignment="1">
      <alignment vertical="center"/>
    </xf>
    <xf numFmtId="0" fontId="5" fillId="0" borderId="63" xfId="0" applyFont="1" applyBorder="1" applyAlignment="1">
      <alignment horizontal="center"/>
    </xf>
    <xf numFmtId="0" fontId="5" fillId="0" borderId="63" xfId="0" applyFont="1" applyFill="1" applyBorder="1" applyAlignment="1">
      <alignment horizontal="center"/>
    </xf>
    <xf numFmtId="164" fontId="5" fillId="0" borderId="64" xfId="1" applyNumberFormat="1" applyFont="1" applyFill="1" applyBorder="1" applyAlignment="1">
      <alignment horizontal="right" vertical="top" wrapText="1"/>
    </xf>
    <xf numFmtId="0" fontId="5" fillId="0" borderId="64" xfId="0" applyFont="1" applyFill="1" applyBorder="1" applyAlignment="1">
      <alignment horizontal="right" vertical="top" wrapText="1"/>
    </xf>
    <xf numFmtId="0" fontId="5" fillId="0" borderId="64" xfId="0" applyFont="1" applyFill="1" applyBorder="1"/>
    <xf numFmtId="164" fontId="5" fillId="0" borderId="65" xfId="1" applyNumberFormat="1" applyFont="1" applyFill="1" applyBorder="1" applyAlignment="1">
      <alignment horizontal="right" vertical="top" wrapText="1"/>
    </xf>
    <xf numFmtId="0" fontId="5" fillId="0" borderId="65" xfId="0" applyFont="1" applyFill="1" applyBorder="1" applyAlignment="1">
      <alignment horizontal="right" vertical="top" wrapText="1"/>
    </xf>
    <xf numFmtId="164" fontId="5" fillId="0" borderId="66" xfId="1" applyNumberFormat="1" applyFont="1" applyFill="1" applyBorder="1" applyAlignment="1">
      <alignment horizontal="right" vertical="top" wrapText="1"/>
    </xf>
    <xf numFmtId="0" fontId="5" fillId="0" borderId="66" xfId="0" applyFont="1" applyFill="1" applyBorder="1" applyAlignment="1">
      <alignment horizontal="right" vertical="top" wrapText="1"/>
    </xf>
    <xf numFmtId="164" fontId="5" fillId="0" borderId="67" xfId="1" applyNumberFormat="1" applyFont="1" applyFill="1" applyBorder="1" applyAlignment="1">
      <alignment horizontal="right" vertical="top" wrapText="1"/>
    </xf>
    <xf numFmtId="0" fontId="5" fillId="0" borderId="67" xfId="0" applyFont="1" applyFill="1" applyBorder="1" applyAlignment="1">
      <alignment horizontal="right" vertical="top" wrapText="1"/>
    </xf>
    <xf numFmtId="164" fontId="5" fillId="0" borderId="64" xfId="1" applyNumberFormat="1" applyFont="1" applyFill="1" applyBorder="1"/>
    <xf numFmtId="0" fontId="19" fillId="0" borderId="0" xfId="15" applyFont="1" applyFill="1" applyProtection="1">
      <protection locked="0"/>
    </xf>
    <xf numFmtId="171" fontId="19" fillId="0" borderId="0" xfId="16" applyNumberFormat="1" applyFont="1" applyFill="1" applyBorder="1" applyAlignment="1" applyProtection="1">
      <alignment horizontal="right" vertical="top"/>
      <protection locked="0"/>
    </xf>
    <xf numFmtId="0" fontId="19" fillId="0" borderId="0" xfId="15" applyFont="1" applyFill="1" applyAlignment="1" applyProtection="1">
      <alignment vertical="top"/>
      <protection locked="0"/>
    </xf>
    <xf numFmtId="172" fontId="19" fillId="0" borderId="0" xfId="15" applyNumberFormat="1" applyFont="1" applyFill="1" applyAlignment="1" applyProtection="1">
      <alignment horizontal="left" vertical="top"/>
      <protection locked="0"/>
    </xf>
    <xf numFmtId="49" fontId="19" fillId="0" borderId="0" xfId="15" applyNumberFormat="1" applyFont="1" applyFill="1" applyBorder="1" applyProtection="1">
      <protection locked="0"/>
    </xf>
    <xf numFmtId="0" fontId="19" fillId="0" borderId="0" xfId="15" applyFont="1" applyFill="1" applyBorder="1" applyAlignment="1" applyProtection="1">
      <protection locked="0"/>
    </xf>
    <xf numFmtId="0" fontId="19" fillId="0" borderId="0" xfId="15" applyFont="1" applyFill="1" applyAlignment="1" applyProtection="1">
      <alignment horizontal="center"/>
      <protection locked="0"/>
    </xf>
    <xf numFmtId="164" fontId="19" fillId="0" borderId="0" xfId="15" applyNumberFormat="1" applyFont="1" applyFill="1" applyProtection="1">
      <protection locked="0"/>
    </xf>
    <xf numFmtId="0" fontId="19" fillId="0" borderId="0" xfId="16" applyFont="1" applyFill="1" applyBorder="1" applyAlignment="1" applyProtection="1">
      <alignment horizontal="left" vertical="top"/>
      <protection locked="0"/>
    </xf>
    <xf numFmtId="14" fontId="48" fillId="0" borderId="0" xfId="16" applyNumberFormat="1" applyFont="1" applyFill="1" applyBorder="1" applyAlignment="1" applyProtection="1">
      <alignment vertical="top"/>
      <protection locked="0"/>
    </xf>
    <xf numFmtId="0" fontId="19" fillId="0" borderId="0" xfId="15" applyFont="1" applyFill="1" applyBorder="1" applyAlignment="1" applyProtection="1">
      <alignment horizontal="left"/>
      <protection locked="0"/>
    </xf>
    <xf numFmtId="49" fontId="19" fillId="0" borderId="0" xfId="15" applyNumberFormat="1" applyFont="1" applyFill="1" applyProtection="1">
      <protection locked="0"/>
    </xf>
    <xf numFmtId="37" fontId="19" fillId="0" borderId="0" xfId="15" applyNumberFormat="1" applyFont="1" applyFill="1" applyProtection="1">
      <protection locked="0"/>
    </xf>
    <xf numFmtId="39" fontId="19" fillId="0" borderId="0" xfId="15" applyNumberFormat="1" applyFont="1" applyFill="1" applyProtection="1">
      <protection locked="0"/>
    </xf>
    <xf numFmtId="5" fontId="19" fillId="0" borderId="0" xfId="15" applyNumberFormat="1" applyFont="1" applyFill="1" applyProtection="1">
      <protection locked="0"/>
    </xf>
    <xf numFmtId="173" fontId="19" fillId="0" borderId="0" xfId="15" applyNumberFormat="1" applyFont="1" applyFill="1" applyAlignment="1" applyProtection="1">
      <alignment horizontal="right"/>
      <protection locked="0"/>
    </xf>
    <xf numFmtId="5" fontId="19" fillId="0" borderId="0" xfId="15" applyNumberFormat="1" applyFont="1" applyFill="1" applyAlignment="1" applyProtection="1">
      <alignment vertical="top"/>
      <protection locked="0"/>
    </xf>
    <xf numFmtId="164" fontId="19" fillId="0" borderId="0" xfId="17" applyNumberFormat="1" applyFont="1" applyFill="1" applyProtection="1">
      <protection locked="0"/>
    </xf>
    <xf numFmtId="5" fontId="19" fillId="0" borderId="0" xfId="15" applyNumberFormat="1" applyFont="1" applyFill="1" applyAlignment="1" applyProtection="1">
      <alignment horizontal="right"/>
      <protection locked="0"/>
    </xf>
    <xf numFmtId="0" fontId="19" fillId="0" borderId="0" xfId="15" applyFont="1" applyFill="1"/>
    <xf numFmtId="0" fontId="12" fillId="0" borderId="0" xfId="15" applyFont="1" applyFill="1" applyBorder="1" applyAlignment="1">
      <alignment vertical="top"/>
    </xf>
    <xf numFmtId="0" fontId="12" fillId="0" borderId="0" xfId="15" applyFont="1" applyFill="1" applyBorder="1"/>
    <xf numFmtId="0" fontId="12" fillId="0" borderId="0" xfId="15" applyFont="1" applyFill="1"/>
    <xf numFmtId="0" fontId="19" fillId="0" borderId="0" xfId="15" applyFont="1" applyFill="1" applyBorder="1" applyAlignment="1">
      <alignment vertical="top"/>
    </xf>
    <xf numFmtId="37" fontId="19" fillId="0" borderId="0" xfId="15" applyNumberFormat="1" applyFont="1" applyFill="1" applyBorder="1"/>
    <xf numFmtId="0" fontId="19" fillId="0" borderId="32" xfId="18" applyFont="1" applyFill="1" applyBorder="1" applyAlignment="1">
      <alignment horizontal="justify" vertical="top" wrapText="1"/>
    </xf>
    <xf numFmtId="0" fontId="12" fillId="0" borderId="32" xfId="15" applyFont="1" applyFill="1" applyBorder="1" applyAlignment="1">
      <alignment vertical="top"/>
    </xf>
    <xf numFmtId="0" fontId="19" fillId="0" borderId="0" xfId="15" applyFont="1" applyFill="1" applyAlignment="1"/>
    <xf numFmtId="0" fontId="48" fillId="0" borderId="0" xfId="15" applyFont="1" applyFill="1" applyAlignment="1">
      <alignment vertical="top" wrapText="1"/>
    </xf>
    <xf numFmtId="0" fontId="12" fillId="0" borderId="0" xfId="15" applyFont="1" applyFill="1" applyAlignment="1">
      <alignment vertical="top"/>
    </xf>
    <xf numFmtId="0" fontId="12" fillId="0" borderId="0" xfId="15" applyFont="1" applyFill="1" applyAlignment="1"/>
    <xf numFmtId="0" fontId="12" fillId="0" borderId="0" xfId="15" applyFont="1" applyFill="1" applyAlignment="1">
      <alignment vertical="top" wrapText="1"/>
    </xf>
    <xf numFmtId="0" fontId="12" fillId="0" borderId="0" xfId="18" applyFont="1" applyFill="1" applyAlignment="1">
      <alignment vertical="top" wrapText="1"/>
    </xf>
    <xf numFmtId="0" fontId="12" fillId="0" borderId="0" xfId="18" applyFont="1" applyAlignment="1">
      <alignment horizontal="justify"/>
    </xf>
    <xf numFmtId="0" fontId="12" fillId="0" borderId="0" xfId="18" applyFont="1" applyFill="1" applyAlignment="1">
      <alignment horizontal="justify"/>
    </xf>
    <xf numFmtId="0" fontId="48" fillId="0" borderId="0" xfId="15" applyFont="1" applyFill="1" applyBorder="1" applyAlignment="1">
      <alignment vertical="top" wrapText="1"/>
    </xf>
    <xf numFmtId="0" fontId="12" fillId="0" borderId="0" xfId="15" applyFont="1" applyFill="1" applyBorder="1" applyAlignment="1">
      <alignment vertical="top" wrapText="1"/>
    </xf>
    <xf numFmtId="9" fontId="12" fillId="0" borderId="0" xfId="15" applyNumberFormat="1" applyFont="1" applyFill="1" applyAlignment="1">
      <alignment vertical="top"/>
    </xf>
    <xf numFmtId="0" fontId="20" fillId="0" borderId="0" xfId="18" applyFont="1" applyBorder="1" applyAlignment="1">
      <alignment vertical="top"/>
    </xf>
    <xf numFmtId="0" fontId="12" fillId="0" borderId="0" xfId="15" applyFont="1" applyFill="1" applyAlignment="1">
      <alignment horizontal="right" vertical="top"/>
    </xf>
    <xf numFmtId="9" fontId="12" fillId="0" borderId="0" xfId="15" applyNumberFormat="1" applyFont="1" applyFill="1" applyAlignment="1">
      <alignment horizontal="right" vertical="top"/>
    </xf>
    <xf numFmtId="10" fontId="12" fillId="0" borderId="0" xfId="15" applyNumberFormat="1" applyFont="1" applyFill="1" applyAlignment="1">
      <alignment horizontal="right" vertical="top"/>
    </xf>
    <xf numFmtId="0" fontId="48" fillId="0" borderId="0" xfId="15" applyFont="1" applyFill="1" applyAlignment="1">
      <alignment vertical="top"/>
    </xf>
    <xf numFmtId="0" fontId="12" fillId="0" borderId="0" xfId="18" applyFont="1" applyFill="1" applyAlignment="1">
      <alignment horizontal="left" vertical="top"/>
    </xf>
    <xf numFmtId="0" fontId="8" fillId="18" borderId="1" xfId="0" applyFont="1" applyFill="1" applyBorder="1" applyAlignment="1">
      <alignment horizontal="center" vertical="center"/>
    </xf>
    <xf numFmtId="0" fontId="8" fillId="18" borderId="2" xfId="0" applyFont="1" applyFill="1" applyBorder="1" applyAlignment="1"/>
    <xf numFmtId="0" fontId="8" fillId="18" borderId="3" xfId="0" applyFont="1" applyFill="1" applyBorder="1" applyAlignment="1"/>
    <xf numFmtId="0" fontId="8" fillId="18" borderId="4" xfId="0" applyFont="1" applyFill="1" applyBorder="1" applyAlignment="1"/>
    <xf numFmtId="0" fontId="7" fillId="18" borderId="1" xfId="0" applyFont="1" applyFill="1" applyBorder="1" applyAlignment="1">
      <alignment horizontal="left" vertical="top" wrapText="1"/>
    </xf>
    <xf numFmtId="44" fontId="7" fillId="18" borderId="1" xfId="2" applyFont="1" applyFill="1" applyBorder="1" applyAlignment="1">
      <alignment horizontal="left" vertical="top" wrapText="1"/>
    </xf>
    <xf numFmtId="0" fontId="7" fillId="18" borderId="1" xfId="0" applyFont="1" applyFill="1" applyBorder="1" applyAlignment="1">
      <alignment wrapText="1"/>
    </xf>
    <xf numFmtId="0" fontId="7" fillId="18" borderId="1" xfId="0" applyFont="1" applyFill="1" applyBorder="1" applyAlignment="1">
      <alignment vertical="top" wrapText="1"/>
    </xf>
    <xf numFmtId="44" fontId="7" fillId="18" borderId="1" xfId="2" applyFont="1" applyFill="1" applyBorder="1" applyAlignment="1">
      <alignment vertical="top" wrapText="1"/>
    </xf>
    <xf numFmtId="0" fontId="7" fillId="18" borderId="1" xfId="0" applyFont="1" applyFill="1" applyBorder="1" applyAlignment="1">
      <alignment horizontal="center" vertical="center"/>
    </xf>
    <xf numFmtId="44" fontId="7" fillId="18" borderId="1" xfId="2" applyFont="1" applyFill="1" applyBorder="1" applyAlignment="1">
      <alignment wrapText="1"/>
    </xf>
    <xf numFmtId="0" fontId="7" fillId="18" borderId="0" xfId="0" applyFont="1" applyFill="1"/>
    <xf numFmtId="0" fontId="7" fillId="18" borderId="1" xfId="0" applyFont="1" applyFill="1" applyBorder="1" applyAlignment="1">
      <alignment vertical="center" wrapText="1"/>
    </xf>
    <xf numFmtId="44" fontId="7" fillId="18" borderId="1" xfId="2" applyFont="1" applyFill="1" applyBorder="1" applyAlignment="1">
      <alignment vertical="center" wrapText="1"/>
    </xf>
    <xf numFmtId="0" fontId="4" fillId="19" borderId="1" xfId="0" applyFont="1" applyFill="1" applyBorder="1" applyAlignment="1">
      <alignment horizontal="center" vertical="center"/>
    </xf>
    <xf numFmtId="0" fontId="4" fillId="19" borderId="2" xfId="0" applyFont="1" applyFill="1" applyBorder="1" applyAlignment="1"/>
    <xf numFmtId="0" fontId="4" fillId="19" borderId="3" xfId="0" applyFont="1" applyFill="1" applyBorder="1" applyAlignment="1"/>
    <xf numFmtId="0" fontId="4" fillId="19" borderId="4" xfId="0" applyFont="1" applyFill="1" applyBorder="1" applyAlignment="1"/>
    <xf numFmtId="0" fontId="5" fillId="19" borderId="1" xfId="0" applyFont="1" applyFill="1" applyBorder="1" applyAlignment="1">
      <alignment horizontal="left" vertical="top" wrapText="1"/>
    </xf>
    <xf numFmtId="44" fontId="5" fillId="19" borderId="1" xfId="2" applyFont="1" applyFill="1" applyBorder="1" applyAlignment="1">
      <alignment horizontal="left" vertical="top" wrapText="1"/>
    </xf>
    <xf numFmtId="0" fontId="5" fillId="19" borderId="1" xfId="0" applyFont="1" applyFill="1" applyBorder="1" applyAlignment="1">
      <alignment wrapText="1"/>
    </xf>
    <xf numFmtId="0" fontId="8" fillId="19" borderId="1" xfId="0" applyFont="1" applyFill="1" applyBorder="1" applyAlignment="1">
      <alignment horizontal="center" vertical="center"/>
    </xf>
    <xf numFmtId="0" fontId="7" fillId="19" borderId="1" xfId="0" applyFont="1" applyFill="1" applyBorder="1" applyAlignment="1">
      <alignment horizontal="left" vertical="center" wrapText="1"/>
    </xf>
    <xf numFmtId="44" fontId="7" fillId="19" borderId="1" xfId="2" applyFont="1" applyFill="1" applyBorder="1" applyAlignment="1">
      <alignment horizontal="left" vertical="center" wrapText="1"/>
    </xf>
    <xf numFmtId="0" fontId="7" fillId="19" borderId="1" xfId="0" applyFont="1" applyFill="1" applyBorder="1" applyAlignment="1">
      <alignment vertical="center" wrapText="1"/>
    </xf>
    <xf numFmtId="0" fontId="7" fillId="19" borderId="1" xfId="0" applyFont="1" applyFill="1" applyBorder="1" applyAlignment="1">
      <alignment horizontal="center" vertical="center"/>
    </xf>
    <xf numFmtId="0" fontId="7" fillId="19" borderId="1" xfId="0" applyFont="1" applyFill="1" applyBorder="1" applyAlignment="1">
      <alignment vertical="top" wrapText="1"/>
    </xf>
    <xf numFmtId="0" fontId="7" fillId="19" borderId="1" xfId="0" applyFont="1" applyFill="1" applyBorder="1" applyAlignment="1">
      <alignment horizontal="left" vertical="top" wrapText="1"/>
    </xf>
    <xf numFmtId="44" fontId="7" fillId="19" borderId="1" xfId="2" applyFont="1" applyFill="1" applyBorder="1" applyAlignment="1">
      <alignment horizontal="left" vertical="top" wrapText="1"/>
    </xf>
    <xf numFmtId="0" fontId="7" fillId="19" borderId="1" xfId="0" applyFont="1" applyFill="1" applyBorder="1" applyAlignment="1">
      <alignment wrapText="1"/>
    </xf>
    <xf numFmtId="0" fontId="7" fillId="19" borderId="4" xfId="0" applyFont="1" applyFill="1" applyBorder="1" applyAlignment="1">
      <alignment vertical="top" wrapText="1"/>
    </xf>
    <xf numFmtId="0" fontId="4" fillId="5" borderId="2" xfId="0" applyFont="1" applyFill="1" applyBorder="1" applyAlignment="1"/>
    <xf numFmtId="0" fontId="8" fillId="5" borderId="3" xfId="0" applyFont="1" applyFill="1" applyBorder="1" applyAlignment="1"/>
    <xf numFmtId="0" fontId="8" fillId="5" borderId="4" xfId="0" applyFont="1" applyFill="1" applyBorder="1" applyAlignment="1"/>
    <xf numFmtId="0" fontId="7" fillId="5" borderId="1" xfId="0" applyFont="1" applyFill="1" applyBorder="1" applyAlignment="1">
      <alignment horizontal="center" vertical="center"/>
    </xf>
    <xf numFmtId="0" fontId="7" fillId="5" borderId="1" xfId="0" applyFont="1" applyFill="1" applyBorder="1" applyAlignment="1">
      <alignment vertical="top" wrapText="1"/>
    </xf>
    <xf numFmtId="0" fontId="7" fillId="5" borderId="0" xfId="0" applyFont="1" applyFill="1"/>
    <xf numFmtId="44" fontId="5" fillId="0" borderId="28" xfId="2" applyFont="1" applyBorder="1" applyAlignment="1">
      <alignment horizontal="center"/>
    </xf>
    <xf numFmtId="170" fontId="5" fillId="0" borderId="25" xfId="2" applyNumberFormat="1" applyFont="1" applyBorder="1" applyAlignment="1">
      <alignment horizontal="center"/>
    </xf>
    <xf numFmtId="0" fontId="7" fillId="0" borderId="0" xfId="0" applyFont="1" applyBorder="1"/>
    <xf numFmtId="0" fontId="7" fillId="0" borderId="0" xfId="0" applyFont="1" applyBorder="1" applyAlignment="1">
      <alignment vertical="center"/>
    </xf>
    <xf numFmtId="0" fontId="7" fillId="0" borderId="0" xfId="0" applyFont="1" applyFill="1" applyBorder="1" applyAlignment="1">
      <alignment vertical="center"/>
    </xf>
    <xf numFmtId="49" fontId="49" fillId="0" borderId="0" xfId="3" applyNumberFormat="1" applyFont="1" applyFill="1" applyBorder="1" applyAlignment="1">
      <alignment vertical="center"/>
    </xf>
    <xf numFmtId="49" fontId="7" fillId="0" borderId="0" xfId="0" applyNumberFormat="1" applyFont="1" applyBorder="1"/>
    <xf numFmtId="0" fontId="5" fillId="0" borderId="68" xfId="0" applyFont="1" applyBorder="1"/>
    <xf numFmtId="44" fontId="5" fillId="0" borderId="69" xfId="2" applyFont="1" applyBorder="1"/>
    <xf numFmtId="44" fontId="5" fillId="0" borderId="69" xfId="2" applyFont="1" applyFill="1" applyBorder="1"/>
    <xf numFmtId="0" fontId="5" fillId="0" borderId="68" xfId="0" applyFont="1" applyFill="1" applyBorder="1"/>
    <xf numFmtId="0" fontId="5" fillId="0" borderId="70" xfId="0" applyFont="1" applyFill="1" applyBorder="1"/>
    <xf numFmtId="0" fontId="5" fillId="0" borderId="71" xfId="0" applyFont="1" applyFill="1" applyBorder="1" applyAlignment="1">
      <alignment horizontal="center"/>
    </xf>
    <xf numFmtId="44" fontId="5" fillId="0" borderId="72" xfId="2" applyFont="1" applyFill="1" applyBorder="1"/>
    <xf numFmtId="0" fontId="5" fillId="0" borderId="73" xfId="0" applyFont="1" applyBorder="1"/>
    <xf numFmtId="0" fontId="5" fillId="0" borderId="74" xfId="0" applyFont="1" applyBorder="1" applyAlignment="1">
      <alignment horizontal="center"/>
    </xf>
    <xf numFmtId="44" fontId="5" fillId="0" borderId="75" xfId="2" applyFont="1" applyBorder="1"/>
    <xf numFmtId="0" fontId="4" fillId="14" borderId="76" xfId="0" applyFont="1" applyFill="1" applyBorder="1" applyAlignment="1">
      <alignment horizontal="center"/>
    </xf>
    <xf numFmtId="0" fontId="4" fillId="14" borderId="77" xfId="0" applyFont="1" applyFill="1" applyBorder="1" applyAlignment="1">
      <alignment horizontal="center"/>
    </xf>
    <xf numFmtId="44" fontId="4" fillId="14" borderId="78" xfId="2" applyFont="1" applyFill="1" applyBorder="1" applyAlignment="1">
      <alignment horizontal="center"/>
    </xf>
    <xf numFmtId="0" fontId="5" fillId="0" borderId="79" xfId="0" applyFont="1" applyBorder="1"/>
    <xf numFmtId="0" fontId="5" fillId="0" borderId="79" xfId="0" applyFont="1" applyBorder="1" applyAlignment="1">
      <alignment horizontal="center"/>
    </xf>
    <xf numFmtId="44" fontId="5" fillId="0" borderId="79" xfId="2" applyFont="1" applyBorder="1"/>
    <xf numFmtId="0" fontId="5" fillId="0" borderId="79" xfId="0" applyFont="1" applyBorder="1" applyAlignment="1">
      <alignment horizontal="left" vertical="center"/>
    </xf>
    <xf numFmtId="0" fontId="5" fillId="0" borderId="79" xfId="0" applyFont="1" applyFill="1" applyBorder="1"/>
    <xf numFmtId="0" fontId="5" fillId="0" borderId="79" xfId="0" applyFont="1" applyFill="1" applyBorder="1" applyAlignment="1">
      <alignment horizontal="center"/>
    </xf>
    <xf numFmtId="44" fontId="5" fillId="0" borderId="79" xfId="2" applyFont="1" applyFill="1" applyBorder="1"/>
    <xf numFmtId="44" fontId="5" fillId="0" borderId="79" xfId="2" applyFont="1" applyFill="1" applyBorder="1" applyAlignment="1">
      <alignment horizontal="center" vertical="center"/>
    </xf>
    <xf numFmtId="0" fontId="5" fillId="0" borderId="79" xfId="0" applyFont="1" applyBorder="1" applyAlignment="1">
      <alignment horizontal="left"/>
    </xf>
    <xf numFmtId="0" fontId="5" fillId="12" borderId="79" xfId="0" applyFont="1" applyFill="1" applyBorder="1"/>
    <xf numFmtId="0" fontId="5" fillId="0" borderId="79" xfId="0" applyFont="1" applyFill="1" applyBorder="1" applyAlignment="1">
      <alignment horizontal="left" vertical="center"/>
    </xf>
    <xf numFmtId="0" fontId="5" fillId="0" borderId="80" xfId="0" applyFont="1" applyBorder="1" applyAlignment="1">
      <alignment horizontal="left" vertical="center"/>
    </xf>
    <xf numFmtId="0" fontId="5" fillId="0" borderId="80" xfId="0" applyFont="1" applyFill="1" applyBorder="1"/>
    <xf numFmtId="0" fontId="5" fillId="0" borderId="80" xfId="0" applyFont="1" applyFill="1" applyBorder="1" applyAlignment="1">
      <alignment horizontal="center"/>
    </xf>
    <xf numFmtId="44" fontId="5" fillId="0" borderId="80" xfId="2" applyFont="1" applyFill="1" applyBorder="1"/>
    <xf numFmtId="44" fontId="5" fillId="0" borderId="80" xfId="2" applyFont="1" applyFill="1" applyBorder="1" applyAlignment="1">
      <alignment horizontal="center" vertical="center"/>
    </xf>
    <xf numFmtId="0" fontId="5" fillId="0" borderId="81" xfId="0" applyFont="1" applyBorder="1" applyAlignment="1">
      <alignment horizontal="left" vertical="center"/>
    </xf>
    <xf numFmtId="0" fontId="5" fillId="0" borderId="81" xfId="0" applyFont="1" applyFill="1" applyBorder="1"/>
    <xf numFmtId="0" fontId="5" fillId="0" borderId="81" xfId="0" applyFont="1" applyFill="1" applyBorder="1" applyAlignment="1">
      <alignment horizontal="center"/>
    </xf>
    <xf numFmtId="44" fontId="5" fillId="0" borderId="81" xfId="2" applyFont="1" applyFill="1" applyBorder="1"/>
    <xf numFmtId="44" fontId="5" fillId="0" borderId="81" xfId="2" applyFont="1" applyFill="1" applyBorder="1" applyAlignment="1">
      <alignment horizontal="center" vertical="center"/>
    </xf>
    <xf numFmtId="44" fontId="5" fillId="0" borderId="81" xfId="2" applyFont="1" applyBorder="1"/>
    <xf numFmtId="0" fontId="5" fillId="0" borderId="83" xfId="0" applyFont="1" applyBorder="1"/>
    <xf numFmtId="0" fontId="5" fillId="0" borderId="83" xfId="0" applyFont="1" applyBorder="1" applyAlignment="1">
      <alignment horizontal="center"/>
    </xf>
    <xf numFmtId="44" fontId="5" fillId="0" borderId="83" xfId="2" applyFont="1" applyBorder="1"/>
    <xf numFmtId="0" fontId="5" fillId="0" borderId="88" xfId="0" applyFont="1" applyBorder="1" applyAlignment="1">
      <alignment horizontal="left" vertical="center"/>
    </xf>
    <xf numFmtId="0" fontId="5" fillId="0" borderId="88" xfId="0" applyFont="1" applyFill="1" applyBorder="1"/>
    <xf numFmtId="0" fontId="5" fillId="0" borderId="88" xfId="0" applyFont="1" applyFill="1" applyBorder="1" applyAlignment="1">
      <alignment horizontal="center"/>
    </xf>
    <xf numFmtId="44" fontId="5" fillId="0" borderId="88" xfId="2" applyFont="1" applyFill="1" applyBorder="1"/>
    <xf numFmtId="44" fontId="5" fillId="0" borderId="88" xfId="2" applyFont="1" applyFill="1" applyBorder="1" applyAlignment="1">
      <alignment horizontal="center" vertical="center"/>
    </xf>
    <xf numFmtId="0" fontId="5" fillId="0" borderId="83" xfId="0" applyFont="1" applyBorder="1" applyAlignment="1">
      <alignment horizontal="left" vertical="center"/>
    </xf>
    <xf numFmtId="0" fontId="5" fillId="0" borderId="83" xfId="0" applyFont="1" applyFill="1" applyBorder="1"/>
    <xf numFmtId="0" fontId="5" fillId="0" borderId="83" xfId="0" applyFont="1" applyFill="1" applyBorder="1" applyAlignment="1">
      <alignment horizontal="center"/>
    </xf>
    <xf numFmtId="44" fontId="5" fillId="0" borderId="83" xfId="2" applyFont="1" applyFill="1" applyBorder="1"/>
    <xf numFmtId="44" fontId="5" fillId="0" borderId="83" xfId="2" applyFont="1" applyFill="1" applyBorder="1" applyAlignment="1">
      <alignment horizontal="center" vertical="center"/>
    </xf>
    <xf numFmtId="0" fontId="5" fillId="0" borderId="83" xfId="0" applyFont="1" applyBorder="1" applyAlignment="1">
      <alignment horizontal="left"/>
    </xf>
    <xf numFmtId="0" fontId="5" fillId="0" borderId="88" xfId="0" applyFont="1" applyBorder="1" applyAlignment="1">
      <alignment horizontal="left"/>
    </xf>
    <xf numFmtId="0" fontId="5" fillId="0" borderId="88" xfId="0" applyFont="1" applyFill="1" applyBorder="1" applyAlignment="1">
      <alignment horizontal="left" vertical="center"/>
    </xf>
    <xf numFmtId="44" fontId="5" fillId="0" borderId="88" xfId="2" applyFont="1" applyBorder="1"/>
    <xf numFmtId="0" fontId="8" fillId="19" borderId="90" xfId="0" applyFont="1" applyFill="1" applyBorder="1" applyAlignment="1">
      <alignment horizontal="center" vertical="center"/>
    </xf>
    <xf numFmtId="0" fontId="4" fillId="19" borderId="91" xfId="0" applyFont="1" applyFill="1" applyBorder="1" applyAlignment="1">
      <alignment horizontal="left" vertical="center"/>
    </xf>
    <xf numFmtId="0" fontId="4" fillId="19" borderId="91" xfId="0" applyFont="1" applyFill="1" applyBorder="1" applyAlignment="1">
      <alignment horizontal="left"/>
    </xf>
    <xf numFmtId="0" fontId="4" fillId="19" borderId="91" xfId="0" applyFont="1" applyFill="1" applyBorder="1" applyAlignment="1"/>
    <xf numFmtId="0" fontId="5" fillId="19" borderId="91" xfId="0" applyFont="1" applyFill="1" applyBorder="1" applyAlignment="1">
      <alignment horizontal="center"/>
    </xf>
    <xf numFmtId="0" fontId="5" fillId="19" borderId="91" xfId="0" applyFont="1" applyFill="1" applyBorder="1" applyAlignment="1">
      <alignment horizontal="center" vertical="center"/>
    </xf>
    <xf numFmtId="44" fontId="5" fillId="0" borderId="79" xfId="0" applyNumberFormat="1" applyFont="1" applyFill="1" applyBorder="1" applyAlignment="1">
      <alignment horizontal="center" vertical="center"/>
    </xf>
    <xf numFmtId="44" fontId="5" fillId="0" borderId="79" xfId="2" applyFont="1" applyBorder="1" applyAlignment="1">
      <alignment horizontal="center" vertical="center"/>
    </xf>
    <xf numFmtId="14" fontId="5" fillId="0" borderId="79" xfId="0" applyNumberFormat="1" applyFont="1" applyBorder="1"/>
    <xf numFmtId="44" fontId="5" fillId="0" borderId="80" xfId="0" applyNumberFormat="1" applyFont="1" applyFill="1" applyBorder="1" applyAlignment="1">
      <alignment horizontal="center" vertical="center"/>
    </xf>
    <xf numFmtId="0" fontId="5" fillId="12" borderId="81" xfId="0" applyFont="1" applyFill="1" applyBorder="1"/>
    <xf numFmtId="0" fontId="5" fillId="0" borderId="81" xfId="0" applyFont="1" applyBorder="1"/>
    <xf numFmtId="0" fontId="5" fillId="0" borderId="81" xfId="0" applyFont="1" applyBorder="1" applyAlignment="1">
      <alignment horizontal="center"/>
    </xf>
    <xf numFmtId="0" fontId="5" fillId="12" borderId="83" xfId="0" applyFont="1" applyFill="1" applyBorder="1"/>
    <xf numFmtId="44" fontId="5" fillId="0" borderId="83" xfId="2" applyFont="1" applyBorder="1" applyAlignment="1">
      <alignment horizontal="center" vertical="center"/>
    </xf>
    <xf numFmtId="44" fontId="5" fillId="0" borderId="88" xfId="0" applyNumberFormat="1" applyFont="1" applyFill="1" applyBorder="1" applyAlignment="1">
      <alignment horizontal="center" vertical="center"/>
    </xf>
    <xf numFmtId="0" fontId="5" fillId="0" borderId="80" xfId="0" applyFont="1" applyFill="1" applyBorder="1" applyAlignment="1">
      <alignment horizontal="left" vertical="center"/>
    </xf>
    <xf numFmtId="44" fontId="5" fillId="0" borderId="80" xfId="2" applyFont="1" applyBorder="1"/>
    <xf numFmtId="0" fontId="5" fillId="0" borderId="80" xfId="0" applyFont="1" applyBorder="1"/>
    <xf numFmtId="0" fontId="5" fillId="0" borderId="80" xfId="0" applyFont="1" applyBorder="1" applyAlignment="1">
      <alignment horizontal="center"/>
    </xf>
    <xf numFmtId="44" fontId="5" fillId="0" borderId="80" xfId="2" applyFont="1" applyBorder="1" applyAlignment="1">
      <alignment horizontal="center" vertical="center"/>
    </xf>
    <xf numFmtId="14" fontId="5" fillId="0" borderId="81" xfId="0" applyNumberFormat="1" applyFont="1" applyBorder="1"/>
    <xf numFmtId="0" fontId="5" fillId="0" borderId="98" xfId="0" applyFont="1" applyFill="1" applyBorder="1" applyAlignment="1">
      <alignment horizontal="left" vertical="center"/>
    </xf>
    <xf numFmtId="0" fontId="5" fillId="0" borderId="98" xfId="0" applyFont="1" applyFill="1" applyBorder="1"/>
    <xf numFmtId="0" fontId="5" fillId="0" borderId="98" xfId="0" applyFont="1" applyFill="1" applyBorder="1" applyAlignment="1">
      <alignment horizontal="center"/>
    </xf>
    <xf numFmtId="0" fontId="9" fillId="0" borderId="98" xfId="0" applyFont="1" applyFill="1" applyBorder="1" applyAlignment="1">
      <alignment horizontal="center"/>
    </xf>
    <xf numFmtId="44" fontId="5" fillId="0" borderId="98" xfId="2" applyFont="1" applyFill="1" applyBorder="1"/>
    <xf numFmtId="44" fontId="5" fillId="0" borderId="98" xfId="0" applyNumberFormat="1" applyFont="1" applyFill="1" applyBorder="1" applyAlignment="1">
      <alignment horizontal="center" vertical="center"/>
    </xf>
    <xf numFmtId="44" fontId="10" fillId="0" borderId="99" xfId="2" applyFont="1" applyBorder="1" applyAlignment="1">
      <alignment horizontal="center" vertical="center"/>
    </xf>
    <xf numFmtId="14" fontId="5" fillId="0" borderId="83" xfId="0" applyNumberFormat="1" applyFont="1" applyBorder="1"/>
    <xf numFmtId="0" fontId="5" fillId="0" borderId="88" xfId="0" applyFont="1" applyBorder="1"/>
    <xf numFmtId="0" fontId="5" fillId="0" borderId="88" xfId="0" applyFont="1" applyBorder="1" applyAlignment="1">
      <alignment horizontal="center"/>
    </xf>
    <xf numFmtId="44" fontId="5" fillId="0" borderId="88" xfId="2" applyFont="1" applyBorder="1" applyAlignment="1">
      <alignment horizontal="center" vertical="center"/>
    </xf>
    <xf numFmtId="0" fontId="8" fillId="20" borderId="90" xfId="0" applyFont="1" applyFill="1" applyBorder="1" applyAlignment="1">
      <alignment horizontal="center" vertical="center"/>
    </xf>
    <xf numFmtId="0" fontId="4" fillId="20" borderId="91" xfId="0" applyFont="1" applyFill="1" applyBorder="1" applyAlignment="1">
      <alignment horizontal="left" vertical="center"/>
    </xf>
    <xf numFmtId="0" fontId="5" fillId="20" borderId="91" xfId="0" applyFont="1" applyFill="1" applyBorder="1" applyAlignment="1">
      <alignment horizontal="center"/>
    </xf>
    <xf numFmtId="0" fontId="5" fillId="20" borderId="91" xfId="0" applyFont="1" applyFill="1" applyBorder="1" applyAlignment="1">
      <alignment horizontal="center" vertical="center"/>
    </xf>
    <xf numFmtId="0" fontId="5" fillId="20" borderId="92" xfId="0" applyFont="1" applyFill="1" applyBorder="1" applyAlignment="1">
      <alignment horizontal="center" vertical="center"/>
    </xf>
    <xf numFmtId="0" fontId="8" fillId="3" borderId="90" xfId="0" applyFont="1" applyFill="1" applyBorder="1" applyAlignment="1">
      <alignment horizontal="center" vertical="center"/>
    </xf>
    <xf numFmtId="0" fontId="4" fillId="3" borderId="91" xfId="0" applyFont="1" applyFill="1" applyBorder="1" applyAlignment="1">
      <alignment horizontal="left" vertical="center"/>
    </xf>
    <xf numFmtId="0" fontId="4" fillId="3" borderId="91" xfId="0" applyFont="1" applyFill="1" applyBorder="1" applyAlignment="1">
      <alignment horizontal="left"/>
    </xf>
    <xf numFmtId="0" fontId="4" fillId="3" borderId="91" xfId="0" applyFont="1" applyFill="1" applyBorder="1" applyAlignment="1"/>
    <xf numFmtId="0" fontId="5" fillId="3" borderId="91" xfId="0" applyFont="1" applyFill="1" applyBorder="1" applyAlignment="1">
      <alignment horizont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4" fillId="20" borderId="91" xfId="0" applyFont="1" applyFill="1" applyBorder="1" applyAlignment="1">
      <alignment vertical="center"/>
    </xf>
    <xf numFmtId="0" fontId="14" fillId="20" borderId="92" xfId="0" applyFont="1" applyFill="1" applyBorder="1" applyAlignment="1">
      <alignment horizontal="center" vertical="center"/>
    </xf>
    <xf numFmtId="14" fontId="5" fillId="0" borderId="79" xfId="0" applyNumberFormat="1" applyFont="1" applyFill="1" applyBorder="1"/>
    <xf numFmtId="0" fontId="8" fillId="20" borderId="100" xfId="0" applyFont="1" applyFill="1" applyBorder="1" applyAlignment="1">
      <alignment horizontal="center" vertical="center"/>
    </xf>
    <xf numFmtId="0" fontId="5" fillId="20" borderId="101" xfId="0" applyFont="1" applyFill="1" applyBorder="1" applyAlignment="1">
      <alignment horizontal="center"/>
    </xf>
    <xf numFmtId="0" fontId="5" fillId="20" borderId="101" xfId="0" applyFont="1" applyFill="1" applyBorder="1" applyAlignment="1">
      <alignment horizontal="center" vertical="center"/>
    </xf>
    <xf numFmtId="0" fontId="14" fillId="20" borderId="102" xfId="0" applyFont="1" applyFill="1" applyBorder="1" applyAlignment="1">
      <alignment horizontal="center" vertical="center"/>
    </xf>
    <xf numFmtId="44" fontId="5" fillId="0" borderId="83" xfId="0" applyNumberFormat="1" applyFont="1" applyFill="1" applyBorder="1" applyAlignment="1">
      <alignment horizontal="center" vertical="center"/>
    </xf>
    <xf numFmtId="0" fontId="50" fillId="0" borderId="0" xfId="0" applyFont="1" applyBorder="1"/>
    <xf numFmtId="0" fontId="7" fillId="3" borderId="91" xfId="0" applyFont="1" applyFill="1" applyBorder="1" applyAlignment="1">
      <alignment horizontal="center"/>
    </xf>
    <xf numFmtId="0" fontId="7" fillId="20" borderId="91" xfId="0" applyFont="1" applyFill="1" applyBorder="1" applyAlignment="1">
      <alignment horizontal="center"/>
    </xf>
    <xf numFmtId="0" fontId="7" fillId="0" borderId="83" xfId="0" applyFont="1" applyBorder="1" applyAlignment="1">
      <alignment horizontal="center"/>
    </xf>
    <xf numFmtId="0" fontId="7" fillId="0" borderId="79" xfId="0" applyFont="1" applyBorder="1" applyAlignment="1">
      <alignment horizontal="center"/>
    </xf>
    <xf numFmtId="0" fontId="7" fillId="0" borderId="79" xfId="0" applyFont="1" applyFill="1" applyBorder="1" applyAlignment="1">
      <alignment horizontal="center"/>
    </xf>
    <xf numFmtId="0" fontId="7" fillId="0" borderId="88" xfId="0" applyFont="1" applyFill="1" applyBorder="1" applyAlignment="1">
      <alignment horizontal="center"/>
    </xf>
    <xf numFmtId="0" fontId="7" fillId="0" borderId="83" xfId="0" applyFont="1" applyFill="1" applyBorder="1" applyAlignment="1">
      <alignment horizontal="center"/>
    </xf>
    <xf numFmtId="0" fontId="7" fillId="0" borderId="80" xfId="0" applyFont="1" applyFill="1" applyBorder="1" applyAlignment="1">
      <alignment horizontal="center"/>
    </xf>
    <xf numFmtId="0" fontId="7" fillId="0" borderId="81" xfId="0" applyFont="1" applyBorder="1" applyAlignment="1">
      <alignment horizontal="center"/>
    </xf>
    <xf numFmtId="0" fontId="51" fillId="0" borderId="79" xfId="0" applyFont="1" applyBorder="1" applyAlignment="1">
      <alignment horizontal="center"/>
    </xf>
    <xf numFmtId="0" fontId="7" fillId="0" borderId="98" xfId="0" applyFont="1" applyFill="1" applyBorder="1" applyAlignment="1">
      <alignment horizontal="center"/>
    </xf>
    <xf numFmtId="44" fontId="7" fillId="0" borderId="88" xfId="2" applyFont="1" applyFill="1" applyBorder="1"/>
    <xf numFmtId="0" fontId="7" fillId="20" borderId="101" xfId="0" applyFont="1" applyFill="1" applyBorder="1" applyAlignment="1">
      <alignment horizontal="center"/>
    </xf>
    <xf numFmtId="166" fontId="7" fillId="0" borderId="79" xfId="0" applyNumberFormat="1" applyFont="1" applyBorder="1" applyAlignment="1">
      <alignment horizontal="center"/>
    </xf>
    <xf numFmtId="0" fontId="7" fillId="0" borderId="88" xfId="0" applyFont="1" applyBorder="1" applyAlignment="1">
      <alignment horizontal="center"/>
    </xf>
    <xf numFmtId="166" fontId="7" fillId="0" borderId="79" xfId="0" applyNumberFormat="1" applyFont="1" applyFill="1" applyBorder="1" applyAlignment="1">
      <alignment horizontal="center"/>
    </xf>
    <xf numFmtId="0" fontId="7" fillId="18" borderId="0" xfId="0" applyFont="1" applyFill="1" applyBorder="1" applyAlignment="1">
      <alignment horizontal="center"/>
    </xf>
    <xf numFmtId="0" fontId="4" fillId="0" borderId="90" xfId="0" applyFont="1" applyFill="1" applyBorder="1" applyAlignment="1">
      <alignment horizontal="center" vertical="center" wrapText="1"/>
    </xf>
    <xf numFmtId="0" fontId="4" fillId="0" borderId="91" xfId="0" applyFont="1" applyFill="1" applyBorder="1" applyAlignment="1">
      <alignment horizontal="center" vertical="center" wrapText="1"/>
    </xf>
    <xf numFmtId="44" fontId="4" fillId="0" borderId="91" xfId="2" applyFont="1" applyFill="1" applyBorder="1" applyAlignment="1">
      <alignment horizontal="center" vertical="center" wrapText="1"/>
    </xf>
    <xf numFmtId="44" fontId="10" fillId="0" borderId="92" xfId="2" applyFont="1" applyFill="1" applyBorder="1" applyAlignment="1">
      <alignment horizontal="center" vertical="center" wrapText="1"/>
    </xf>
    <xf numFmtId="0" fontId="8" fillId="2" borderId="0" xfId="0" applyFont="1" applyFill="1" applyBorder="1" applyAlignment="1">
      <alignment horizontal="center" vertical="center"/>
    </xf>
    <xf numFmtId="0" fontId="5" fillId="2" borderId="0" xfId="0" applyFont="1" applyFill="1" applyBorder="1" applyAlignment="1">
      <alignment horizontal="center"/>
    </xf>
    <xf numFmtId="44" fontId="5" fillId="2" borderId="0" xfId="2" applyFont="1" applyFill="1" applyBorder="1"/>
    <xf numFmtId="14" fontId="5" fillId="0" borderId="80" xfId="0" applyNumberFormat="1" applyFont="1" applyFill="1" applyBorder="1"/>
    <xf numFmtId="0" fontId="7" fillId="0" borderId="80" xfId="0" applyFont="1" applyBorder="1" applyAlignment="1">
      <alignment horizontal="center"/>
    </xf>
    <xf numFmtId="0" fontId="7" fillId="0" borderId="81" xfId="0" applyFont="1" applyFill="1" applyBorder="1" applyAlignment="1">
      <alignment horizontal="center"/>
    </xf>
    <xf numFmtId="0" fontId="8" fillId="5" borderId="90" xfId="0" applyFont="1" applyFill="1" applyBorder="1" applyAlignment="1">
      <alignment horizontal="center" vertical="center"/>
    </xf>
    <xf numFmtId="0" fontId="4" fillId="5" borderId="91" xfId="0" applyFont="1" applyFill="1" applyBorder="1" applyAlignment="1">
      <alignment horizontal="center" vertical="center"/>
    </xf>
    <xf numFmtId="0" fontId="8" fillId="5" borderId="91" xfId="0" applyFont="1" applyFill="1" applyBorder="1" applyAlignment="1">
      <alignment horizontal="left"/>
    </xf>
    <xf numFmtId="0" fontId="8" fillId="5" borderId="91" xfId="0" applyFont="1" applyFill="1" applyBorder="1" applyAlignment="1"/>
    <xf numFmtId="0" fontId="7" fillId="5" borderId="91" xfId="0" applyFont="1" applyFill="1" applyBorder="1" applyAlignment="1">
      <alignment horizontal="center"/>
    </xf>
    <xf numFmtId="0" fontId="5" fillId="5" borderId="91" xfId="0" applyFont="1" applyFill="1" applyBorder="1" applyAlignment="1">
      <alignment horizontal="center"/>
    </xf>
    <xf numFmtId="44" fontId="5" fillId="5" borderId="91" xfId="2" applyFont="1" applyFill="1" applyBorder="1"/>
    <xf numFmtId="44" fontId="5" fillId="5" borderId="91" xfId="2" applyFont="1" applyFill="1" applyBorder="1" applyAlignment="1">
      <alignment horizontal="center" vertical="center"/>
    </xf>
    <xf numFmtId="44" fontId="14" fillId="5" borderId="92" xfId="2" applyFont="1" applyFill="1" applyBorder="1" applyAlignment="1">
      <alignment horizontal="center" vertical="center"/>
    </xf>
    <xf numFmtId="0" fontId="8" fillId="2" borderId="90" xfId="0" applyFont="1" applyFill="1" applyBorder="1" applyAlignment="1">
      <alignment horizontal="center" vertical="center"/>
    </xf>
    <xf numFmtId="0" fontId="7" fillId="2" borderId="91" xfId="0" applyFont="1" applyFill="1" applyBorder="1" applyAlignment="1">
      <alignment horizontal="center"/>
    </xf>
    <xf numFmtId="0" fontId="5" fillId="2" borderId="91" xfId="0" applyFont="1" applyFill="1" applyBorder="1" applyAlignment="1">
      <alignment horizontal="center"/>
    </xf>
    <xf numFmtId="44" fontId="5" fillId="2" borderId="91" xfId="2" applyFont="1" applyFill="1" applyBorder="1"/>
    <xf numFmtId="44" fontId="5" fillId="2" borderId="91" xfId="2" applyFont="1" applyFill="1" applyBorder="1" applyAlignment="1">
      <alignment horizontal="center" vertical="center"/>
    </xf>
    <xf numFmtId="44" fontId="14" fillId="2" borderId="92" xfId="2" applyFont="1" applyFill="1" applyBorder="1" applyAlignment="1">
      <alignment horizontal="center" vertical="center"/>
    </xf>
    <xf numFmtId="14" fontId="5" fillId="0" borderId="88" xfId="0" applyNumberFormat="1" applyFont="1" applyFill="1" applyBorder="1"/>
    <xf numFmtId="0" fontId="8" fillId="2" borderId="100" xfId="0" applyFont="1" applyFill="1" applyBorder="1" applyAlignment="1">
      <alignment horizontal="center" vertical="center"/>
    </xf>
    <xf numFmtId="0" fontId="7" fillId="2" borderId="101" xfId="0" applyFont="1" applyFill="1" applyBorder="1" applyAlignment="1">
      <alignment horizontal="center"/>
    </xf>
    <xf numFmtId="0" fontId="5" fillId="2" borderId="101" xfId="0" applyFont="1" applyFill="1" applyBorder="1" applyAlignment="1">
      <alignment horizontal="center"/>
    </xf>
    <xf numFmtId="44" fontId="5" fillId="2" borderId="101" xfId="2" applyFont="1" applyFill="1" applyBorder="1"/>
    <xf numFmtId="0" fontId="8" fillId="6" borderId="90" xfId="0" applyFont="1" applyFill="1" applyBorder="1" applyAlignment="1">
      <alignment horizontal="center" vertical="center"/>
    </xf>
    <xf numFmtId="0" fontId="4" fillId="6" borderId="91" xfId="0" applyFont="1" applyFill="1" applyBorder="1" applyAlignment="1">
      <alignment vertical="center"/>
    </xf>
    <xf numFmtId="0" fontId="8" fillId="6" borderId="91" xfId="0" applyFont="1" applyFill="1" applyBorder="1" applyAlignment="1">
      <alignment horizontal="left"/>
    </xf>
    <xf numFmtId="0" fontId="8" fillId="6" borderId="91" xfId="0" applyFont="1" applyFill="1" applyBorder="1" applyAlignment="1"/>
    <xf numFmtId="0" fontId="7" fillId="6" borderId="91" xfId="0" applyFont="1" applyFill="1" applyBorder="1" applyAlignment="1">
      <alignment horizontal="center"/>
    </xf>
    <xf numFmtId="0" fontId="5" fillId="6" borderId="91" xfId="0" applyFont="1" applyFill="1" applyBorder="1" applyAlignment="1">
      <alignment horizontal="center"/>
    </xf>
    <xf numFmtId="44" fontId="5" fillId="6" borderId="91" xfId="2" applyFont="1" applyFill="1" applyBorder="1"/>
    <xf numFmtId="44" fontId="5" fillId="6" borderId="91" xfId="2" applyFont="1" applyFill="1" applyBorder="1" applyAlignment="1">
      <alignment horizontal="center" vertical="center"/>
    </xf>
    <xf numFmtId="44" fontId="14" fillId="6" borderId="92" xfId="2" applyFont="1" applyFill="1" applyBorder="1" applyAlignment="1">
      <alignment horizontal="center" vertical="center"/>
    </xf>
    <xf numFmtId="0" fontId="8" fillId="18" borderId="90" xfId="0" applyFont="1" applyFill="1" applyBorder="1" applyAlignment="1">
      <alignment horizontal="center" vertical="center"/>
    </xf>
    <xf numFmtId="0" fontId="7" fillId="18" borderId="91" xfId="0" applyFont="1" applyFill="1" applyBorder="1" applyAlignment="1">
      <alignment horizontal="center"/>
    </xf>
    <xf numFmtId="0" fontId="5" fillId="18" borderId="91" xfId="0" applyFont="1" applyFill="1" applyBorder="1" applyAlignment="1">
      <alignment horizontal="center"/>
    </xf>
    <xf numFmtId="44" fontId="5" fillId="18" borderId="91" xfId="2" applyFont="1" applyFill="1" applyBorder="1"/>
    <xf numFmtId="44" fontId="5" fillId="18" borderId="91" xfId="2" applyFont="1" applyFill="1" applyBorder="1" applyAlignment="1">
      <alignment horizontal="center" vertical="center"/>
    </xf>
    <xf numFmtId="44" fontId="14" fillId="18" borderId="92" xfId="2" applyFont="1" applyFill="1" applyBorder="1" applyAlignment="1">
      <alignment horizontal="center" vertical="center"/>
    </xf>
    <xf numFmtId="44" fontId="5" fillId="12" borderId="88" xfId="2" applyFont="1" applyFill="1" applyBorder="1"/>
    <xf numFmtId="0" fontId="7" fillId="18" borderId="91" xfId="0" applyFont="1" applyFill="1" applyBorder="1" applyAlignment="1">
      <alignment horizontal="left" indent="1"/>
    </xf>
    <xf numFmtId="0" fontId="5" fillId="18" borderId="91" xfId="0" applyFont="1" applyFill="1" applyBorder="1" applyAlignment="1">
      <alignment horizontal="left" indent="1"/>
    </xf>
    <xf numFmtId="44" fontId="5" fillId="18" borderId="91" xfId="2" applyFont="1" applyFill="1" applyBorder="1" applyAlignment="1">
      <alignment horizontal="left" indent="1"/>
    </xf>
    <xf numFmtId="44" fontId="5" fillId="18" borderId="91" xfId="2" applyFont="1" applyFill="1" applyBorder="1" applyAlignment="1">
      <alignment horizontal="left" vertical="center" indent="1"/>
    </xf>
    <xf numFmtId="44" fontId="14" fillId="18" borderId="92" xfId="2" applyFont="1" applyFill="1" applyBorder="1" applyAlignment="1">
      <alignment horizontal="left" vertical="center" indent="1"/>
    </xf>
    <xf numFmtId="44" fontId="4" fillId="0" borderId="92" xfId="2" applyFont="1" applyFill="1" applyBorder="1" applyAlignment="1">
      <alignment horizontal="center" vertical="center" wrapText="1"/>
    </xf>
    <xf numFmtId="44" fontId="5" fillId="0" borderId="79" xfId="2" applyFont="1" applyFill="1" applyBorder="1" applyAlignment="1">
      <alignment vertical="center"/>
    </xf>
    <xf numFmtId="44" fontId="5" fillId="0" borderId="79" xfId="2" applyFont="1" applyBorder="1" applyAlignment="1">
      <alignment vertical="center"/>
    </xf>
    <xf numFmtId="44" fontId="5" fillId="0" borderId="79" xfId="0" applyNumberFormat="1" applyFont="1" applyFill="1" applyBorder="1" applyAlignment="1">
      <alignment vertical="center"/>
    </xf>
    <xf numFmtId="0" fontId="51" fillId="0" borderId="79" xfId="0" applyFont="1" applyFill="1" applyBorder="1" applyAlignment="1">
      <alignment horizontal="center"/>
    </xf>
    <xf numFmtId="0" fontId="4" fillId="20" borderId="0" xfId="0" applyFont="1" applyFill="1" applyBorder="1" applyAlignment="1">
      <alignment vertical="center"/>
    </xf>
    <xf numFmtId="0" fontId="4" fillId="20" borderId="0" xfId="0" applyFont="1" applyFill="1" applyBorder="1" applyAlignment="1">
      <alignment horizontal="left" vertical="center"/>
    </xf>
    <xf numFmtId="44" fontId="4" fillId="0" borderId="100" xfId="2" applyFont="1" applyFill="1" applyBorder="1" applyAlignment="1">
      <alignment horizontal="center" vertical="center" wrapText="1"/>
    </xf>
    <xf numFmtId="44" fontId="4" fillId="0" borderId="101" xfId="2" applyFont="1" applyFill="1" applyBorder="1" applyAlignment="1">
      <alignment horizontal="center" vertical="center" wrapText="1"/>
    </xf>
    <xf numFmtId="44" fontId="4" fillId="0" borderId="102" xfId="2" applyFont="1" applyFill="1" applyBorder="1" applyAlignment="1">
      <alignment horizontal="center" vertical="center" wrapText="1"/>
    </xf>
    <xf numFmtId="44" fontId="5" fillId="0" borderId="80" xfId="2" applyFont="1" applyFill="1" applyBorder="1" applyAlignment="1">
      <alignment vertical="center"/>
    </xf>
    <xf numFmtId="44" fontId="5" fillId="0" borderId="80" xfId="2" applyFont="1" applyBorder="1" applyAlignment="1">
      <alignment vertical="center"/>
    </xf>
    <xf numFmtId="44" fontId="5" fillId="0" borderId="80" xfId="0" applyNumberFormat="1" applyFont="1" applyFill="1" applyBorder="1" applyAlignment="1">
      <alignment vertical="center"/>
    </xf>
    <xf numFmtId="44" fontId="5" fillId="0" borderId="81" xfId="2" applyFont="1" applyFill="1" applyBorder="1" applyAlignment="1">
      <alignment vertical="center"/>
    </xf>
    <xf numFmtId="44" fontId="5" fillId="0" borderId="81" xfId="0" applyNumberFormat="1" applyFont="1" applyFill="1" applyBorder="1" applyAlignment="1">
      <alignment vertical="center"/>
    </xf>
    <xf numFmtId="44" fontId="14" fillId="19" borderId="92" xfId="2" applyFont="1" applyFill="1" applyBorder="1" applyAlignment="1">
      <alignment horizontal="center" vertical="center"/>
    </xf>
    <xf numFmtId="44" fontId="14" fillId="20" borderId="92" xfId="2" applyFont="1" applyFill="1" applyBorder="1" applyAlignment="1">
      <alignment horizontal="center" vertical="center"/>
    </xf>
    <xf numFmtId="44" fontId="5" fillId="0" borderId="88" xfId="2" applyFont="1" applyFill="1" applyBorder="1" applyAlignment="1">
      <alignment vertical="center"/>
    </xf>
    <xf numFmtId="44" fontId="5" fillId="0" borderId="83" xfId="2" applyFont="1" applyFill="1" applyBorder="1" applyAlignment="1">
      <alignment vertical="center"/>
    </xf>
    <xf numFmtId="44" fontId="5" fillId="0" borderId="88" xfId="2" applyFont="1" applyBorder="1" applyAlignment="1">
      <alignment vertical="center"/>
    </xf>
    <xf numFmtId="44" fontId="5" fillId="0" borderId="88" xfId="0" applyNumberFormat="1" applyFont="1" applyFill="1" applyBorder="1" applyAlignment="1">
      <alignment vertical="center"/>
    </xf>
    <xf numFmtId="44" fontId="5" fillId="0" borderId="83" xfId="2" applyFont="1" applyBorder="1" applyAlignment="1">
      <alignment vertical="center"/>
    </xf>
    <xf numFmtId="0" fontId="5" fillId="0" borderId="98" xfId="0" applyFont="1" applyBorder="1" applyAlignment="1">
      <alignment horizontal="left" vertical="center"/>
    </xf>
    <xf numFmtId="44" fontId="5" fillId="0" borderId="98" xfId="0" applyNumberFormat="1" applyFont="1" applyFill="1" applyBorder="1" applyAlignment="1">
      <alignment vertical="center"/>
    </xf>
    <xf numFmtId="44" fontId="10" fillId="0" borderId="99" xfId="2" applyFont="1" applyBorder="1" applyAlignment="1">
      <alignment vertical="center"/>
    </xf>
    <xf numFmtId="0" fontId="7" fillId="0" borderId="88" xfId="0" applyFont="1" applyBorder="1"/>
    <xf numFmtId="44" fontId="5" fillId="0" borderId="83" xfId="0" applyNumberFormat="1" applyFont="1" applyFill="1" applyBorder="1" applyAlignment="1">
      <alignment vertical="center"/>
    </xf>
    <xf numFmtId="0" fontId="5" fillId="0" borderId="83" xfId="0" applyFont="1" applyFill="1" applyBorder="1" applyAlignment="1">
      <alignment horizontal="left" vertical="center"/>
    </xf>
    <xf numFmtId="44" fontId="5" fillId="2" borderId="0" xfId="2" applyFont="1" applyFill="1" applyBorder="1" applyAlignment="1">
      <alignment vertical="center"/>
    </xf>
    <xf numFmtId="44" fontId="5" fillId="5" borderId="91" xfId="2" applyFont="1" applyFill="1" applyBorder="1" applyAlignment="1">
      <alignment vertical="center"/>
    </xf>
    <xf numFmtId="44" fontId="5" fillId="5" borderId="92" xfId="2" applyFont="1" applyFill="1" applyBorder="1" applyAlignment="1">
      <alignment vertical="center"/>
    </xf>
    <xf numFmtId="44" fontId="5" fillId="2" borderId="91" xfId="2" applyFont="1" applyFill="1" applyBorder="1" applyAlignment="1">
      <alignment vertical="center"/>
    </xf>
    <xf numFmtId="44" fontId="5" fillId="2" borderId="92" xfId="2" applyFont="1" applyFill="1" applyBorder="1" applyAlignment="1">
      <alignment vertical="center"/>
    </xf>
    <xf numFmtId="44" fontId="5" fillId="6" borderId="91" xfId="2" applyFont="1" applyFill="1" applyBorder="1" applyAlignment="1">
      <alignment vertical="center"/>
    </xf>
    <xf numFmtId="44" fontId="5" fillId="6" borderId="92" xfId="2" applyFont="1" applyFill="1" applyBorder="1" applyAlignment="1">
      <alignment vertical="center"/>
    </xf>
    <xf numFmtId="44" fontId="5" fillId="18" borderId="91" xfId="2" applyFont="1" applyFill="1" applyBorder="1" applyAlignment="1">
      <alignment vertical="center"/>
    </xf>
    <xf numFmtId="44" fontId="5" fillId="18" borderId="92" xfId="2" applyFont="1" applyFill="1" applyBorder="1" applyAlignment="1">
      <alignment vertical="center"/>
    </xf>
    <xf numFmtId="0" fontId="8" fillId="18" borderId="100" xfId="0" applyFont="1" applyFill="1" applyBorder="1" applyAlignment="1">
      <alignment horizontal="center" vertical="center"/>
    </xf>
    <xf numFmtId="0" fontId="7" fillId="18" borderId="101" xfId="0" applyFont="1" applyFill="1" applyBorder="1" applyAlignment="1">
      <alignment horizontal="center"/>
    </xf>
    <xf numFmtId="0" fontId="5" fillId="18" borderId="101" xfId="0" applyFont="1" applyFill="1" applyBorder="1" applyAlignment="1">
      <alignment horizontal="center"/>
    </xf>
    <xf numFmtId="44" fontId="5" fillId="18" borderId="101" xfId="2" applyFont="1" applyFill="1" applyBorder="1"/>
    <xf numFmtId="44" fontId="5" fillId="18" borderId="101" xfId="2" applyFont="1" applyFill="1" applyBorder="1" applyAlignment="1">
      <alignment vertical="center"/>
    </xf>
    <xf numFmtId="44" fontId="5" fillId="18" borderId="102" xfId="2" applyFont="1" applyFill="1" applyBorder="1" applyAlignment="1">
      <alignment vertical="center"/>
    </xf>
    <xf numFmtId="44" fontId="5" fillId="19" borderId="92" xfId="2" applyFont="1" applyFill="1" applyBorder="1" applyAlignment="1">
      <alignment horizontal="center" vertical="center"/>
    </xf>
    <xf numFmtId="44" fontId="5" fillId="20" borderId="92" xfId="2" applyFont="1" applyFill="1" applyBorder="1" applyAlignment="1">
      <alignment horizontal="center" vertical="center"/>
    </xf>
    <xf numFmtId="0" fontId="4" fillId="0" borderId="90" xfId="0" applyFont="1" applyFill="1" applyBorder="1" applyAlignment="1">
      <alignment horizontal="center" vertical="center"/>
    </xf>
    <xf numFmtId="0" fontId="4" fillId="0" borderId="91" xfId="0" applyFont="1" applyFill="1" applyBorder="1" applyAlignment="1">
      <alignment horizontal="center" vertical="center"/>
    </xf>
    <xf numFmtId="44" fontId="4" fillId="0" borderId="91" xfId="2" applyFont="1" applyFill="1" applyBorder="1" applyAlignment="1">
      <alignment horizontal="center" vertical="center"/>
    </xf>
    <xf numFmtId="44" fontId="4" fillId="0" borderId="92" xfId="2" applyFont="1" applyFill="1" applyBorder="1" applyAlignment="1">
      <alignment vertical="center" wrapText="1"/>
    </xf>
    <xf numFmtId="44" fontId="4" fillId="0" borderId="99" xfId="2" applyFont="1" applyBorder="1" applyAlignment="1">
      <alignment vertical="center"/>
    </xf>
    <xf numFmtId="0" fontId="5" fillId="20" borderId="102" xfId="0" applyFont="1" applyFill="1" applyBorder="1" applyAlignment="1">
      <alignment horizontal="center" vertical="center"/>
    </xf>
    <xf numFmtId="0" fontId="7" fillId="0" borderId="0" xfId="0" applyFont="1" applyBorder="1" applyAlignment="1">
      <alignment horizontal="center"/>
    </xf>
    <xf numFmtId="0" fontId="7" fillId="0" borderId="0" xfId="0" applyFont="1" applyAlignment="1">
      <alignment horizontal="center"/>
    </xf>
    <xf numFmtId="0" fontId="50" fillId="0" borderId="0" xfId="0" applyFont="1"/>
    <xf numFmtId="44" fontId="5" fillId="0" borderId="79" xfId="2" applyFont="1" applyFill="1" applyBorder="1" applyAlignment="1">
      <alignment horizontal="center"/>
    </xf>
    <xf numFmtId="0" fontId="4" fillId="0" borderId="100" xfId="0" applyFont="1" applyFill="1" applyBorder="1" applyAlignment="1">
      <alignment horizontal="center" vertical="center"/>
    </xf>
    <xf numFmtId="0" fontId="4" fillId="0" borderId="101" xfId="0" applyFont="1" applyFill="1" applyBorder="1" applyAlignment="1">
      <alignment horizontal="center" vertical="center"/>
    </xf>
    <xf numFmtId="44" fontId="4" fillId="0" borderId="101" xfId="2" applyFont="1" applyFill="1" applyBorder="1" applyAlignment="1">
      <alignment horizontal="center" vertical="center"/>
    </xf>
    <xf numFmtId="44" fontId="5" fillId="0" borderId="81" xfId="2" applyFont="1" applyFill="1" applyBorder="1" applyAlignment="1">
      <alignment horizontal="center"/>
    </xf>
    <xf numFmtId="44" fontId="5" fillId="3" borderId="92" xfId="2" applyFont="1" applyFill="1" applyBorder="1" applyAlignment="1">
      <alignment horizontal="center" vertical="center"/>
    </xf>
    <xf numFmtId="44" fontId="7" fillId="0" borderId="88" xfId="2" applyFont="1" applyBorder="1"/>
    <xf numFmtId="0" fontId="12" fillId="0" borderId="79" xfId="0" applyFont="1" applyFill="1" applyBorder="1" applyAlignment="1">
      <alignment horizontal="center"/>
    </xf>
    <xf numFmtId="0" fontId="12" fillId="0" borderId="88" xfId="0" applyFont="1" applyFill="1" applyBorder="1" applyAlignment="1">
      <alignment horizontal="center"/>
    </xf>
    <xf numFmtId="0" fontId="19" fillId="0" borderId="90" xfId="0" applyFont="1" applyFill="1" applyBorder="1" applyAlignment="1">
      <alignment horizontal="center" vertical="center"/>
    </xf>
    <xf numFmtId="0" fontId="19" fillId="0" borderId="91" xfId="0" applyFont="1" applyFill="1" applyBorder="1" applyAlignment="1">
      <alignment horizontal="center" vertical="center"/>
    </xf>
    <xf numFmtId="44" fontId="19" fillId="0" borderId="91" xfId="2" applyFont="1" applyFill="1" applyBorder="1" applyAlignment="1">
      <alignment horizontal="center" vertical="center"/>
    </xf>
    <xf numFmtId="44" fontId="19" fillId="0" borderId="91" xfId="2" applyFont="1" applyFill="1" applyBorder="1" applyAlignment="1">
      <alignment horizontal="center" vertical="center" wrapText="1"/>
    </xf>
    <xf numFmtId="44" fontId="19" fillId="0" borderId="92" xfId="2" applyFont="1" applyFill="1" applyBorder="1" applyAlignment="1">
      <alignment horizontal="center" vertical="center" wrapText="1"/>
    </xf>
    <xf numFmtId="0" fontId="8" fillId="20" borderId="103" xfId="0" applyFont="1" applyFill="1" applyBorder="1" applyAlignment="1">
      <alignment horizontal="center" vertical="center"/>
    </xf>
    <xf numFmtId="0" fontId="7" fillId="20" borderId="104" xfId="0" applyFont="1" applyFill="1" applyBorder="1" applyAlignment="1">
      <alignment horizontal="center"/>
    </xf>
    <xf numFmtId="0" fontId="5" fillId="20" borderId="104" xfId="0" applyFont="1" applyFill="1" applyBorder="1" applyAlignment="1">
      <alignment horizontal="center"/>
    </xf>
    <xf numFmtId="0" fontId="5" fillId="20" borderId="104" xfId="0" applyFont="1" applyFill="1" applyBorder="1" applyAlignment="1">
      <alignment horizontal="center" vertical="center"/>
    </xf>
    <xf numFmtId="0" fontId="5" fillId="20" borderId="105" xfId="0" applyFont="1" applyFill="1" applyBorder="1" applyAlignment="1">
      <alignment horizontal="center" vertical="center"/>
    </xf>
    <xf numFmtId="44" fontId="5" fillId="2" borderId="101" xfId="2" applyFont="1" applyFill="1" applyBorder="1" applyAlignment="1">
      <alignment vertical="center"/>
    </xf>
    <xf numFmtId="44" fontId="5" fillId="2" borderId="102" xfId="2" applyFont="1" applyFill="1" applyBorder="1" applyAlignment="1">
      <alignment vertical="center"/>
    </xf>
    <xf numFmtId="0" fontId="8" fillId="18" borderId="109" xfId="0" applyFont="1" applyFill="1" applyBorder="1" applyAlignment="1">
      <alignment horizontal="center" vertical="center"/>
    </xf>
    <xf numFmtId="44" fontId="5" fillId="18" borderId="110" xfId="2" applyFont="1" applyFill="1" applyBorder="1" applyAlignment="1">
      <alignment vertical="center"/>
    </xf>
    <xf numFmtId="0" fontId="8" fillId="6" borderId="106" xfId="0" applyFont="1" applyFill="1" applyBorder="1" applyAlignment="1">
      <alignment horizontal="center" vertical="center"/>
    </xf>
    <xf numFmtId="0" fontId="4" fillId="6" borderId="107" xfId="0" applyFont="1" applyFill="1" applyBorder="1" applyAlignment="1">
      <alignment vertical="center"/>
    </xf>
    <xf numFmtId="0" fontId="8" fillId="6" borderId="107" xfId="0" applyFont="1" applyFill="1" applyBorder="1" applyAlignment="1">
      <alignment horizontal="left"/>
    </xf>
    <xf numFmtId="0" fontId="8" fillId="6" borderId="107" xfId="0" applyFont="1" applyFill="1" applyBorder="1" applyAlignment="1"/>
    <xf numFmtId="0" fontId="7" fillId="6" borderId="107" xfId="0" applyFont="1" applyFill="1" applyBorder="1" applyAlignment="1">
      <alignment horizontal="center"/>
    </xf>
    <xf numFmtId="0" fontId="5" fillId="6" borderId="107" xfId="0" applyFont="1" applyFill="1" applyBorder="1" applyAlignment="1">
      <alignment horizontal="center"/>
    </xf>
    <xf numFmtId="44" fontId="5" fillId="6" borderId="107" xfId="2" applyFont="1" applyFill="1" applyBorder="1"/>
    <xf numFmtId="44" fontId="5" fillId="6" borderId="107" xfId="2" applyFont="1" applyFill="1" applyBorder="1" applyAlignment="1">
      <alignment vertical="center"/>
    </xf>
    <xf numFmtId="44" fontId="5" fillId="6" borderId="108" xfId="2" applyFont="1" applyFill="1" applyBorder="1" applyAlignment="1">
      <alignment vertical="center"/>
    </xf>
    <xf numFmtId="14" fontId="5" fillId="0" borderId="88" xfId="0" applyNumberFormat="1" applyFont="1" applyBorder="1"/>
    <xf numFmtId="0" fontId="4" fillId="20" borderId="0" xfId="0" applyFont="1" applyFill="1" applyBorder="1" applyAlignment="1">
      <alignment horizontal="center" vertical="center"/>
    </xf>
    <xf numFmtId="44" fontId="5" fillId="0" borderId="79" xfId="2" applyFont="1" applyBorder="1" applyAlignment="1">
      <alignment horizontal="center"/>
    </xf>
    <xf numFmtId="0" fontId="5" fillId="0" borderId="79" xfId="0" applyFont="1" applyBorder="1" applyAlignment="1">
      <alignment horizontal="center" vertical="center"/>
    </xf>
    <xf numFmtId="44" fontId="5" fillId="0" borderId="79" xfId="0" applyNumberFormat="1" applyFont="1" applyBorder="1" applyAlignment="1">
      <alignment vertical="center"/>
    </xf>
    <xf numFmtId="0" fontId="5" fillId="0" borderId="80" xfId="0" applyFont="1" applyBorder="1" applyAlignment="1">
      <alignment horizontal="center" vertical="center"/>
    </xf>
    <xf numFmtId="44" fontId="5" fillId="0" borderId="80" xfId="2" applyFont="1" applyBorder="1" applyAlignment="1">
      <alignment horizontal="center"/>
    </xf>
    <xf numFmtId="44" fontId="5" fillId="0" borderId="80" xfId="2" applyFont="1" applyFill="1" applyBorder="1" applyAlignment="1">
      <alignment horizontal="center"/>
    </xf>
    <xf numFmtId="44" fontId="5" fillId="0" borderId="80" xfId="0" applyNumberFormat="1" applyFont="1" applyBorder="1" applyAlignment="1">
      <alignment vertical="center"/>
    </xf>
    <xf numFmtId="0" fontId="5" fillId="0" borderId="81" xfId="0" applyFont="1" applyBorder="1" applyAlignment="1">
      <alignment horizontal="center" vertical="center"/>
    </xf>
    <xf numFmtId="44" fontId="5" fillId="0" borderId="81" xfId="0" applyNumberFormat="1" applyFont="1" applyBorder="1" applyAlignment="1">
      <alignment vertical="center"/>
    </xf>
    <xf numFmtId="0" fontId="4" fillId="3" borderId="91" xfId="0" applyFont="1" applyFill="1" applyBorder="1" applyAlignment="1">
      <alignment horizontal="center"/>
    </xf>
    <xf numFmtId="0" fontId="4" fillId="20" borderId="91" xfId="0" applyFont="1" applyFill="1" applyBorder="1" applyAlignment="1">
      <alignment horizontal="center" vertical="center"/>
    </xf>
    <xf numFmtId="44" fontId="5" fillId="0" borderId="83" xfId="2" applyFont="1" applyBorder="1" applyAlignment="1">
      <alignment horizontal="center"/>
    </xf>
    <xf numFmtId="0" fontId="5" fillId="0" borderId="88" xfId="0" applyFont="1" applyBorder="1" applyAlignment="1">
      <alignment horizontal="center" vertical="center"/>
    </xf>
    <xf numFmtId="0" fontId="5" fillId="0" borderId="83" xfId="0" applyFont="1" applyBorder="1" applyAlignment="1">
      <alignment horizontal="center" vertical="center"/>
    </xf>
    <xf numFmtId="44" fontId="5" fillId="0" borderId="83" xfId="2" applyFont="1" applyFill="1" applyBorder="1" applyAlignment="1">
      <alignment horizontal="center"/>
    </xf>
    <xf numFmtId="44" fontId="5" fillId="0" borderId="88" xfId="2" applyFont="1" applyBorder="1" applyAlignment="1">
      <alignment horizontal="center"/>
    </xf>
    <xf numFmtId="44" fontId="5" fillId="0" borderId="83" xfId="0" applyNumberFormat="1" applyFont="1" applyBorder="1" applyAlignment="1">
      <alignment vertical="center"/>
    </xf>
    <xf numFmtId="44" fontId="5" fillId="0" borderId="88" xfId="2" applyFont="1" applyFill="1" applyBorder="1" applyAlignment="1">
      <alignment horizontal="center"/>
    </xf>
    <xf numFmtId="44" fontId="5" fillId="0" borderId="88" xfId="0" applyNumberFormat="1" applyFont="1" applyBorder="1" applyAlignment="1">
      <alignment vertical="center"/>
    </xf>
    <xf numFmtId="0" fontId="5" fillId="0" borderId="98" xfId="0" applyFont="1" applyBorder="1" applyAlignment="1">
      <alignment horizontal="center" vertical="center"/>
    </xf>
    <xf numFmtId="0" fontId="9" fillId="0" borderId="79" xfId="0" applyFont="1" applyFill="1" applyBorder="1"/>
    <xf numFmtId="0" fontId="8" fillId="5" borderId="91" xfId="0" applyFont="1" applyFill="1" applyBorder="1" applyAlignment="1">
      <alignment horizontal="center"/>
    </xf>
    <xf numFmtId="0" fontId="5" fillId="0" borderId="79" xfId="0" applyFont="1" applyFill="1" applyBorder="1" applyAlignment="1">
      <alignment horizontal="left"/>
    </xf>
    <xf numFmtId="0" fontId="5" fillId="0" borderId="83" xfId="0" applyFont="1" applyFill="1" applyBorder="1" applyAlignment="1">
      <alignment horizontal="left"/>
    </xf>
    <xf numFmtId="0" fontId="5" fillId="0" borderId="88" xfId="0" applyFont="1" applyFill="1" applyBorder="1" applyAlignment="1">
      <alignment horizontal="left"/>
    </xf>
    <xf numFmtId="0" fontId="8" fillId="6" borderId="91" xfId="0" applyFont="1" applyFill="1" applyBorder="1" applyAlignment="1">
      <alignment horizontal="center"/>
    </xf>
    <xf numFmtId="0" fontId="5" fillId="0" borderId="79"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81" xfId="0" applyFont="1" applyFill="1" applyBorder="1" applyAlignment="1">
      <alignment horizontal="center" vertical="center"/>
    </xf>
    <xf numFmtId="44" fontId="5" fillId="20" borderId="91" xfId="2" applyFont="1" applyFill="1" applyBorder="1" applyAlignment="1">
      <alignment horizontal="center"/>
    </xf>
    <xf numFmtId="0" fontId="5" fillId="0" borderId="83" xfId="0" applyFont="1" applyFill="1" applyBorder="1" applyAlignment="1">
      <alignment horizontal="center" vertical="center"/>
    </xf>
    <xf numFmtId="0" fontId="5" fillId="0" borderId="88" xfId="0" applyFont="1" applyFill="1" applyBorder="1" applyAlignment="1">
      <alignment horizontal="center" vertical="center"/>
    </xf>
    <xf numFmtId="44" fontId="5" fillId="20" borderId="101" xfId="2" applyFont="1" applyFill="1" applyBorder="1" applyAlignment="1">
      <alignment horizontal="center"/>
    </xf>
    <xf numFmtId="0" fontId="8" fillId="20" borderId="106" xfId="0" applyFont="1" applyFill="1" applyBorder="1" applyAlignment="1">
      <alignment horizontal="center" vertical="center"/>
    </xf>
    <xf numFmtId="0" fontId="7" fillId="20" borderId="107" xfId="0" applyFont="1" applyFill="1" applyBorder="1" applyAlignment="1">
      <alignment horizontal="center"/>
    </xf>
    <xf numFmtId="0" fontId="5" fillId="20" borderId="107" xfId="0" applyFont="1" applyFill="1" applyBorder="1" applyAlignment="1">
      <alignment horizontal="center"/>
    </xf>
    <xf numFmtId="44" fontId="5" fillId="20" borderId="107" xfId="2" applyFont="1" applyFill="1" applyBorder="1" applyAlignment="1">
      <alignment horizontal="center"/>
    </xf>
    <xf numFmtId="0" fontId="5" fillId="20" borderId="107" xfId="0" applyFont="1" applyFill="1" applyBorder="1" applyAlignment="1">
      <alignment horizontal="center" vertical="center"/>
    </xf>
    <xf numFmtId="0" fontId="5" fillId="20" borderId="108" xfId="0" applyFont="1" applyFill="1" applyBorder="1" applyAlignment="1">
      <alignment horizontal="center" vertical="center"/>
    </xf>
    <xf numFmtId="14" fontId="5" fillId="0" borderId="83" xfId="0" applyNumberFormat="1" applyFont="1" applyFill="1" applyBorder="1"/>
    <xf numFmtId="0" fontId="5" fillId="0" borderId="98" xfId="0" applyFont="1" applyFill="1" applyBorder="1" applyAlignment="1">
      <alignment horizontal="center" vertical="center"/>
    </xf>
    <xf numFmtId="44" fontId="5" fillId="0" borderId="98" xfId="2" applyFont="1" applyFill="1" applyBorder="1" applyAlignment="1">
      <alignment horizontal="center"/>
    </xf>
    <xf numFmtId="44" fontId="4" fillId="0" borderId="99" xfId="0" applyNumberFormat="1" applyFont="1" applyFill="1" applyBorder="1" applyAlignment="1">
      <alignment vertical="center"/>
    </xf>
    <xf numFmtId="44" fontId="5" fillId="3" borderId="91" xfId="2" applyFont="1" applyFill="1" applyBorder="1" applyAlignment="1">
      <alignment horizontal="center"/>
    </xf>
    <xf numFmtId="44" fontId="5" fillId="2" borderId="91" xfId="2" applyFont="1" applyFill="1" applyBorder="1" applyAlignment="1">
      <alignment horizontal="center"/>
    </xf>
    <xf numFmtId="0" fontId="8" fillId="5" borderId="100" xfId="0" applyFont="1" applyFill="1" applyBorder="1" applyAlignment="1">
      <alignment horizontal="center" vertical="center"/>
    </xf>
    <xf numFmtId="0" fontId="4" fillId="5" borderId="101" xfId="0" applyFont="1" applyFill="1" applyBorder="1" applyAlignment="1">
      <alignment horizontal="center" vertical="center"/>
    </xf>
    <xf numFmtId="0" fontId="8" fillId="5" borderId="101" xfId="0" applyFont="1" applyFill="1" applyBorder="1" applyAlignment="1">
      <alignment horizontal="center"/>
    </xf>
    <xf numFmtId="0" fontId="8" fillId="5" borderId="101" xfId="0" applyFont="1" applyFill="1" applyBorder="1" applyAlignment="1"/>
    <xf numFmtId="0" fontId="7" fillId="5" borderId="101" xfId="0" applyFont="1" applyFill="1" applyBorder="1" applyAlignment="1">
      <alignment horizontal="center"/>
    </xf>
    <xf numFmtId="0" fontId="5" fillId="5" borderId="101" xfId="0" applyFont="1" applyFill="1" applyBorder="1" applyAlignment="1">
      <alignment horizontal="center"/>
    </xf>
    <xf numFmtId="44" fontId="5" fillId="5" borderId="101" xfId="2" applyFont="1" applyFill="1" applyBorder="1" applyAlignment="1">
      <alignment horizontal="center"/>
    </xf>
    <xf numFmtId="44" fontId="5" fillId="5" borderId="101" xfId="2" applyFont="1" applyFill="1" applyBorder="1"/>
    <xf numFmtId="44" fontId="5" fillId="5" borderId="101" xfId="2" applyFont="1" applyFill="1" applyBorder="1" applyAlignment="1">
      <alignment vertical="center"/>
    </xf>
    <xf numFmtId="44" fontId="5" fillId="5" borderId="102" xfId="2" applyFont="1" applyFill="1" applyBorder="1" applyAlignment="1">
      <alignment vertical="center"/>
    </xf>
    <xf numFmtId="0" fontId="12" fillId="0" borderId="79" xfId="0" applyFont="1" applyFill="1" applyBorder="1"/>
    <xf numFmtId="0" fontId="20" fillId="0" borderId="79" xfId="0" applyFont="1" applyFill="1" applyBorder="1" applyAlignment="1">
      <alignment horizontal="center"/>
    </xf>
    <xf numFmtId="44" fontId="12" fillId="0" borderId="79" xfId="2" applyFont="1" applyFill="1" applyBorder="1" applyAlignment="1">
      <alignment horizontal="center"/>
    </xf>
    <xf numFmtId="44" fontId="12" fillId="0" borderId="79" xfId="2" applyFont="1" applyFill="1" applyBorder="1"/>
    <xf numFmtId="44" fontId="5" fillId="18" borderId="91" xfId="2" applyFont="1" applyFill="1" applyBorder="1" applyAlignment="1">
      <alignment horizontal="center"/>
    </xf>
    <xf numFmtId="0" fontId="12" fillId="0" borderId="83" xfId="0" applyFont="1" applyFill="1" applyBorder="1"/>
    <xf numFmtId="0" fontId="20" fillId="0" borderId="83" xfId="0" applyFont="1" applyFill="1" applyBorder="1" applyAlignment="1">
      <alignment horizontal="center"/>
    </xf>
    <xf numFmtId="0" fontId="12" fillId="0" borderId="83" xfId="0" applyFont="1" applyFill="1" applyBorder="1" applyAlignment="1">
      <alignment horizontal="center"/>
    </xf>
    <xf numFmtId="44" fontId="12" fillId="0" borderId="83" xfId="2" applyFont="1" applyFill="1" applyBorder="1" applyAlignment="1">
      <alignment horizontal="center"/>
    </xf>
    <xf numFmtId="44" fontId="12" fillId="0" borderId="83" xfId="2" applyFont="1" applyFill="1" applyBorder="1"/>
    <xf numFmtId="44" fontId="5" fillId="6" borderId="91" xfId="2" applyFont="1" applyFill="1" applyBorder="1" applyAlignment="1">
      <alignment horizontal="center"/>
    </xf>
    <xf numFmtId="0" fontId="7" fillId="0" borderId="0" xfId="0" applyFont="1" applyFill="1" applyAlignment="1">
      <alignment horizontal="center"/>
    </xf>
    <xf numFmtId="14" fontId="7" fillId="0" borderId="79" xfId="0" applyNumberFormat="1" applyFont="1" applyFill="1" applyBorder="1" applyAlignment="1">
      <alignment horizontal="center"/>
    </xf>
    <xf numFmtId="14" fontId="7" fillId="0" borderId="83" xfId="0" applyNumberFormat="1" applyFont="1" applyFill="1" applyBorder="1" applyAlignment="1">
      <alignment horizontal="center"/>
    </xf>
    <xf numFmtId="44" fontId="4" fillId="0" borderId="89" xfId="0" applyNumberFormat="1" applyFont="1" applyBorder="1" applyAlignment="1">
      <alignment vertical="center"/>
    </xf>
    <xf numFmtId="14" fontId="7" fillId="0" borderId="81" xfId="0" applyNumberFormat="1" applyFont="1" applyFill="1" applyBorder="1" applyAlignment="1">
      <alignment horizontal="center"/>
    </xf>
    <xf numFmtId="0" fontId="4" fillId="3" borderId="90" xfId="0" applyFont="1" applyFill="1" applyBorder="1" applyAlignment="1">
      <alignment horizontal="center" vertical="center"/>
    </xf>
    <xf numFmtId="0" fontId="10" fillId="3" borderId="91" xfId="0" applyFont="1" applyFill="1" applyBorder="1" applyAlignment="1"/>
    <xf numFmtId="0" fontId="10" fillId="3" borderId="91" xfId="0" applyFont="1" applyFill="1" applyBorder="1" applyAlignment="1">
      <alignment horizontal="center"/>
    </xf>
    <xf numFmtId="44" fontId="5" fillId="3" borderId="91" xfId="2" applyFont="1" applyFill="1" applyBorder="1" applyAlignment="1">
      <alignment horizontal="center" vertical="center"/>
    </xf>
    <xf numFmtId="44" fontId="5" fillId="20" borderId="91" xfId="2" applyFont="1" applyFill="1" applyBorder="1" applyAlignment="1">
      <alignment horizontal="center" vertical="center"/>
    </xf>
    <xf numFmtId="0" fontId="5" fillId="0" borderId="113" xfId="0" applyFont="1" applyBorder="1" applyAlignment="1">
      <alignment horizontal="center" vertical="center"/>
    </xf>
    <xf numFmtId="0" fontId="5" fillId="0" borderId="113" xfId="0" applyFont="1" applyFill="1" applyBorder="1"/>
    <xf numFmtId="0" fontId="7" fillId="0" borderId="113" xfId="0" applyFont="1" applyFill="1" applyBorder="1" applyAlignment="1">
      <alignment horizontal="center"/>
    </xf>
    <xf numFmtId="0" fontId="5" fillId="0" borderId="113" xfId="0" applyFont="1" applyFill="1" applyBorder="1" applyAlignment="1">
      <alignment horizontal="center"/>
    </xf>
    <xf numFmtId="44" fontId="5" fillId="0" borderId="113" xfId="2" applyFont="1" applyFill="1" applyBorder="1"/>
    <xf numFmtId="44" fontId="5" fillId="0" borderId="113" xfId="0" applyNumberFormat="1" applyFont="1" applyFill="1" applyBorder="1" applyAlignment="1">
      <alignment vertical="center"/>
    </xf>
    <xf numFmtId="44" fontId="4" fillId="0" borderId="114" xfId="0" applyNumberFormat="1" applyFont="1" applyBorder="1" applyAlignment="1">
      <alignment vertical="center"/>
    </xf>
    <xf numFmtId="0" fontId="8" fillId="20" borderId="91" xfId="0" applyFont="1" applyFill="1" applyBorder="1" applyAlignment="1">
      <alignment horizontal="center" vertical="center"/>
    </xf>
    <xf numFmtId="0" fontId="8" fillId="20" borderId="101" xfId="0" applyFont="1" applyFill="1" applyBorder="1" applyAlignment="1">
      <alignment horizontal="center" vertical="center"/>
    </xf>
    <xf numFmtId="44" fontId="12" fillId="0" borderId="79" xfId="0" applyNumberFormat="1" applyFont="1" applyFill="1" applyBorder="1" applyAlignment="1">
      <alignment vertical="center"/>
    </xf>
    <xf numFmtId="0" fontId="20" fillId="0" borderId="81" xfId="0" applyFont="1" applyFill="1" applyBorder="1" applyAlignment="1">
      <alignment horizontal="center"/>
    </xf>
    <xf numFmtId="0" fontId="12" fillId="0" borderId="81" xfId="0" applyFont="1" applyFill="1" applyBorder="1" applyAlignment="1">
      <alignment horizontal="center"/>
    </xf>
    <xf numFmtId="44" fontId="12" fillId="0" borderId="81" xfId="2" applyFont="1" applyFill="1" applyBorder="1"/>
    <xf numFmtId="0" fontId="10" fillId="5" borderId="101" xfId="0" applyFont="1" applyFill="1" applyBorder="1" applyAlignment="1"/>
    <xf numFmtId="0" fontId="10" fillId="5" borderId="101" xfId="0" applyFont="1" applyFill="1" applyBorder="1" applyAlignment="1">
      <alignment horizontal="center"/>
    </xf>
    <xf numFmtId="0" fontId="5" fillId="5" borderId="101" xfId="0" applyFont="1" applyFill="1" applyBorder="1" applyAlignment="1">
      <alignment vertical="center"/>
    </xf>
    <xf numFmtId="0" fontId="5" fillId="5" borderId="102" xfId="0" applyFont="1" applyFill="1" applyBorder="1" applyAlignment="1">
      <alignment vertical="center"/>
    </xf>
    <xf numFmtId="0" fontId="8" fillId="2" borderId="101" xfId="0" applyFont="1" applyFill="1" applyBorder="1" applyAlignment="1">
      <alignment horizontal="left" vertical="center"/>
    </xf>
    <xf numFmtId="0" fontId="8" fillId="2" borderId="102" xfId="0" applyFont="1" applyFill="1" applyBorder="1" applyAlignment="1">
      <alignment horizontal="left" vertical="center"/>
    </xf>
    <xf numFmtId="0" fontId="8" fillId="2" borderId="109" xfId="0" applyFont="1" applyFill="1" applyBorder="1" applyAlignment="1">
      <alignment horizontal="center" vertical="center"/>
    </xf>
    <xf numFmtId="44" fontId="5" fillId="2" borderId="110" xfId="2" applyFont="1" applyFill="1" applyBorder="1" applyAlignment="1">
      <alignment vertical="center"/>
    </xf>
    <xf numFmtId="14" fontId="7" fillId="0" borderId="80" xfId="0" applyNumberFormat="1" applyFont="1" applyFill="1" applyBorder="1" applyAlignment="1">
      <alignment horizontal="center"/>
    </xf>
    <xf numFmtId="14" fontId="7" fillId="0" borderId="88" xfId="0" applyNumberFormat="1" applyFont="1" applyFill="1" applyBorder="1" applyAlignment="1">
      <alignment horizontal="center"/>
    </xf>
    <xf numFmtId="0" fontId="10" fillId="6" borderId="91" xfId="0" applyFont="1" applyFill="1" applyBorder="1" applyAlignment="1"/>
    <xf numFmtId="0" fontId="10" fillId="6" borderId="91" xfId="0" applyFont="1" applyFill="1" applyBorder="1" applyAlignment="1">
      <alignment horizontal="center"/>
    </xf>
    <xf numFmtId="0" fontId="8" fillId="18" borderId="91" xfId="0" applyFont="1" applyFill="1" applyBorder="1" applyAlignment="1">
      <alignment horizontal="center" vertical="center"/>
    </xf>
    <xf numFmtId="0" fontId="8" fillId="18" borderId="101" xfId="0" applyFont="1" applyFill="1" applyBorder="1" applyAlignment="1">
      <alignment horizontal="center" vertical="center"/>
    </xf>
    <xf numFmtId="0" fontId="4" fillId="20" borderId="44" xfId="0" applyFont="1" applyFill="1" applyBorder="1" applyAlignment="1">
      <alignment horizontal="center" vertical="center"/>
    </xf>
    <xf numFmtId="0" fontId="24" fillId="20" borderId="45" xfId="0" applyFont="1" applyFill="1" applyBorder="1" applyAlignment="1">
      <alignment horizontal="left" vertical="center"/>
    </xf>
    <xf numFmtId="0" fontId="4" fillId="18" borderId="44" xfId="0" applyFont="1" applyFill="1" applyBorder="1" applyAlignment="1">
      <alignment horizontal="center" vertical="center"/>
    </xf>
    <xf numFmtId="0" fontId="24" fillId="18" borderId="45" xfId="0" applyFont="1" applyFill="1" applyBorder="1" applyAlignment="1">
      <alignment horizontal="left" vertical="center"/>
    </xf>
    <xf numFmtId="0" fontId="4" fillId="18" borderId="0" xfId="0" applyFont="1" applyFill="1" applyBorder="1" applyAlignment="1">
      <alignment horizontal="left" vertical="center"/>
    </xf>
    <xf numFmtId="0" fontId="4" fillId="2" borderId="44" xfId="0" applyFont="1" applyFill="1" applyBorder="1" applyAlignment="1">
      <alignment horizontal="center" vertical="center"/>
    </xf>
    <xf numFmtId="0" fontId="4" fillId="2" borderId="0" xfId="0" applyFont="1" applyFill="1" applyBorder="1" applyAlignment="1">
      <alignment vertical="center"/>
    </xf>
    <xf numFmtId="170" fontId="4" fillId="2" borderId="0" xfId="0" applyNumberFormat="1" applyFont="1" applyFill="1" applyBorder="1" applyAlignment="1">
      <alignment vertical="center"/>
    </xf>
    <xf numFmtId="0" fontId="24" fillId="2" borderId="45" xfId="0" applyFont="1" applyFill="1" applyBorder="1" applyAlignment="1">
      <alignment horizontal="left" vertical="center"/>
    </xf>
    <xf numFmtId="0" fontId="4" fillId="2" borderId="0" xfId="0" applyFont="1" applyFill="1" applyBorder="1" applyAlignment="1">
      <alignment horizontal="left" vertical="center"/>
    </xf>
    <xf numFmtId="0" fontId="4" fillId="18" borderId="0" xfId="0" applyFont="1" applyFill="1" applyBorder="1" applyAlignment="1">
      <alignment horizontal="left"/>
    </xf>
    <xf numFmtId="0" fontId="24" fillId="18" borderId="45" xfId="0" applyFont="1" applyFill="1" applyBorder="1" applyAlignment="1">
      <alignment horizontal="left"/>
    </xf>
    <xf numFmtId="174" fontId="24" fillId="0" borderId="0" xfId="2" applyNumberFormat="1" applyFont="1" applyFill="1" applyBorder="1" applyAlignment="1">
      <alignment horizontal="center" vertical="center"/>
    </xf>
    <xf numFmtId="174" fontId="23" fillId="0" borderId="0" xfId="0" applyNumberFormat="1" applyFont="1" applyFill="1" applyBorder="1"/>
    <xf numFmtId="174" fontId="23" fillId="0" borderId="0" xfId="0" applyNumberFormat="1" applyFont="1" applyBorder="1"/>
    <xf numFmtId="170" fontId="5" fillId="0" borderId="1" xfId="2" applyNumberFormat="1" applyFont="1" applyBorder="1"/>
    <xf numFmtId="170" fontId="5" fillId="0" borderId="12" xfId="2" applyNumberFormat="1" applyFont="1" applyBorder="1"/>
    <xf numFmtId="170" fontId="5" fillId="0" borderId="8" xfId="2" applyNumberFormat="1" applyFont="1" applyBorder="1"/>
    <xf numFmtId="44" fontId="5" fillId="0" borderId="75" xfId="2" applyFont="1" applyFill="1" applyBorder="1"/>
    <xf numFmtId="0" fontId="12" fillId="0" borderId="0" xfId="15" applyFont="1" applyFill="1" applyAlignment="1">
      <alignment horizontal="left"/>
    </xf>
    <xf numFmtId="0" fontId="52" fillId="0" borderId="0" xfId="0" applyFont="1"/>
    <xf numFmtId="170" fontId="4" fillId="0" borderId="9" xfId="2" applyNumberFormat="1" applyFont="1" applyBorder="1"/>
    <xf numFmtId="170" fontId="5" fillId="18" borderId="8" xfId="2" applyNumberFormat="1" applyFont="1" applyFill="1" applyBorder="1"/>
    <xf numFmtId="170" fontId="5" fillId="18" borderId="1" xfId="2" applyNumberFormat="1" applyFont="1" applyFill="1" applyBorder="1"/>
    <xf numFmtId="170" fontId="5" fillId="18" borderId="12" xfId="2" applyNumberFormat="1" applyFont="1" applyFill="1" applyBorder="1"/>
    <xf numFmtId="170" fontId="12" fillId="18" borderId="9" xfId="2" applyNumberFormat="1" applyFont="1" applyFill="1" applyBorder="1"/>
    <xf numFmtId="170" fontId="12" fillId="18" borderId="21" xfId="2" applyNumberFormat="1" applyFont="1" applyFill="1" applyBorder="1"/>
    <xf numFmtId="170" fontId="12" fillId="18" borderId="13" xfId="2" applyNumberFormat="1" applyFont="1" applyFill="1" applyBorder="1"/>
    <xf numFmtId="0" fontId="0" fillId="0" borderId="115" xfId="0" applyBorder="1"/>
    <xf numFmtId="0" fontId="0" fillId="0" borderId="117" xfId="0" applyBorder="1"/>
    <xf numFmtId="0" fontId="4" fillId="0" borderId="118" xfId="0" applyFont="1" applyBorder="1"/>
    <xf numFmtId="0" fontId="0" fillId="0" borderId="119" xfId="0" applyBorder="1"/>
    <xf numFmtId="0" fontId="5" fillId="0" borderId="118" xfId="0" applyFont="1" applyBorder="1"/>
    <xf numFmtId="0" fontId="5" fillId="0" borderId="120" xfId="0" applyFont="1" applyBorder="1"/>
    <xf numFmtId="0" fontId="5" fillId="0" borderId="121" xfId="0" applyFont="1" applyBorder="1"/>
    <xf numFmtId="170" fontId="4" fillId="0" borderId="5" xfId="2" applyNumberFormat="1" applyFont="1" applyBorder="1"/>
    <xf numFmtId="167" fontId="5" fillId="0" borderId="5" xfId="0" applyNumberFormat="1" applyFont="1" applyBorder="1"/>
    <xf numFmtId="167" fontId="5" fillId="0" borderId="6" xfId="0" applyNumberFormat="1" applyFont="1" applyBorder="1"/>
    <xf numFmtId="167" fontId="5" fillId="0" borderId="7" xfId="0" applyNumberFormat="1" applyFont="1" applyBorder="1"/>
    <xf numFmtId="170" fontId="53" fillId="0" borderId="116" xfId="2" applyNumberFormat="1" applyFont="1" applyBorder="1"/>
    <xf numFmtId="0" fontId="20" fillId="0" borderId="0" xfId="13" applyFont="1" applyFill="1" applyAlignment="1">
      <alignment horizontal="left"/>
    </xf>
    <xf numFmtId="0" fontId="20" fillId="0" borderId="0" xfId="13" quotePrefix="1" applyFont="1" applyFill="1" applyAlignment="1">
      <alignment horizontal="left"/>
    </xf>
    <xf numFmtId="0" fontId="52" fillId="0" borderId="8" xfId="0" applyFont="1" applyBorder="1" applyAlignment="1">
      <alignment horizontal="center"/>
    </xf>
    <xf numFmtId="174" fontId="24" fillId="4" borderId="55" xfId="2" applyNumberFormat="1" applyFont="1" applyFill="1" applyBorder="1" applyAlignment="1">
      <alignment horizontal="center" vertical="center"/>
    </xf>
    <xf numFmtId="174" fontId="24" fillId="4" borderId="56" xfId="2" applyNumberFormat="1" applyFont="1" applyFill="1" applyBorder="1" applyAlignment="1">
      <alignment horizontal="center" vertical="center"/>
    </xf>
    <xf numFmtId="174" fontId="24" fillId="9" borderId="53" xfId="2" applyNumberFormat="1" applyFont="1" applyFill="1" applyBorder="1" applyAlignment="1">
      <alignment horizontal="center" vertical="center"/>
    </xf>
    <xf numFmtId="174" fontId="24" fillId="9" borderId="50" xfId="2" applyNumberFormat="1" applyFont="1" applyFill="1" applyBorder="1" applyAlignment="1">
      <alignment horizontal="center" vertical="center"/>
    </xf>
    <xf numFmtId="174" fontId="24" fillId="5" borderId="53" xfId="2" applyNumberFormat="1" applyFont="1" applyFill="1" applyBorder="1" applyAlignment="1">
      <alignment horizontal="center" vertical="center"/>
    </xf>
    <xf numFmtId="174" fontId="24" fillId="5" borderId="50" xfId="2" applyNumberFormat="1" applyFont="1" applyFill="1" applyBorder="1" applyAlignment="1">
      <alignment horizontal="center" vertical="center"/>
    </xf>
    <xf numFmtId="174" fontId="24" fillId="2" borderId="61" xfId="2" applyNumberFormat="1" applyFont="1" applyFill="1" applyBorder="1" applyAlignment="1">
      <alignment horizontal="center" vertical="center"/>
    </xf>
    <xf numFmtId="174" fontId="24" fillId="2" borderId="62" xfId="2" applyNumberFormat="1" applyFont="1" applyFill="1" applyBorder="1" applyAlignment="1">
      <alignment horizontal="center" vertical="center"/>
    </xf>
    <xf numFmtId="174" fontId="24" fillId="17" borderId="53" xfId="2" applyNumberFormat="1" applyFont="1" applyFill="1" applyBorder="1" applyAlignment="1">
      <alignment horizontal="center" vertical="center"/>
    </xf>
    <xf numFmtId="174" fontId="24" fillId="17" borderId="50" xfId="2" applyNumberFormat="1" applyFont="1" applyFill="1" applyBorder="1" applyAlignment="1">
      <alignment horizontal="center" vertical="center"/>
    </xf>
    <xf numFmtId="174" fontId="24" fillId="8" borderId="53" xfId="2" applyNumberFormat="1" applyFont="1" applyFill="1" applyBorder="1" applyAlignment="1">
      <alignment horizontal="center" vertical="center"/>
    </xf>
    <xf numFmtId="174" fontId="24" fillId="8" borderId="50" xfId="2" applyNumberFormat="1" applyFont="1" applyFill="1" applyBorder="1" applyAlignment="1">
      <alignment horizontal="center" vertical="center"/>
    </xf>
    <xf numFmtId="0" fontId="44" fillId="2" borderId="38" xfId="0" applyFont="1" applyFill="1" applyBorder="1" applyAlignment="1">
      <alignment horizontal="center" vertical="center"/>
    </xf>
    <xf numFmtId="0" fontId="44" fillId="2" borderId="39" xfId="0" applyFont="1" applyFill="1" applyBorder="1" applyAlignment="1">
      <alignment horizontal="center" vertical="center"/>
    </xf>
    <xf numFmtId="0" fontId="44" fillId="2" borderId="40" xfId="0" applyFont="1" applyFill="1" applyBorder="1" applyAlignment="1">
      <alignment horizontal="center" vertical="center"/>
    </xf>
    <xf numFmtId="0" fontId="44" fillId="2" borderId="41" xfId="0" applyFont="1" applyFill="1" applyBorder="1" applyAlignment="1">
      <alignment horizontal="center" vertical="center"/>
    </xf>
    <xf numFmtId="0" fontId="44" fillId="2" borderId="42" xfId="0" applyFont="1" applyFill="1" applyBorder="1" applyAlignment="1">
      <alignment horizontal="center" vertical="center"/>
    </xf>
    <xf numFmtId="0" fontId="44" fillId="2" borderId="43" xfId="0" applyFont="1" applyFill="1" applyBorder="1" applyAlignment="1">
      <alignment horizontal="center" vertical="center"/>
    </xf>
    <xf numFmtId="44" fontId="44" fillId="2" borderId="38" xfId="2" applyFont="1" applyFill="1" applyBorder="1" applyAlignment="1">
      <alignment horizontal="center" vertical="center"/>
    </xf>
    <xf numFmtId="44" fontId="44" fillId="2" borderId="40" xfId="2" applyFont="1" applyFill="1" applyBorder="1" applyAlignment="1">
      <alignment horizontal="center" vertical="center"/>
    </xf>
    <xf numFmtId="44" fontId="44" fillId="2" borderId="41" xfId="2" applyFont="1" applyFill="1" applyBorder="1" applyAlignment="1">
      <alignment horizontal="center" vertical="center"/>
    </xf>
    <xf numFmtId="44" fontId="44" fillId="2" borderId="43" xfId="2" applyFont="1" applyFill="1" applyBorder="1" applyAlignment="1">
      <alignment horizontal="center" vertical="center"/>
    </xf>
    <xf numFmtId="44" fontId="43" fillId="17" borderId="39" xfId="2" applyFont="1" applyFill="1" applyBorder="1" applyAlignment="1">
      <alignment horizontal="center" vertical="center"/>
    </xf>
    <xf numFmtId="44" fontId="43" fillId="17" borderId="40" xfId="2" applyFont="1" applyFill="1" applyBorder="1" applyAlignment="1">
      <alignment horizontal="center" vertical="center"/>
    </xf>
    <xf numFmtId="44" fontId="43" fillId="17" borderId="42" xfId="2" applyFont="1" applyFill="1" applyBorder="1" applyAlignment="1">
      <alignment horizontal="center" vertical="center"/>
    </xf>
    <xf numFmtId="44" fontId="43" fillId="17" borderId="43" xfId="2" applyFont="1" applyFill="1" applyBorder="1" applyAlignment="1">
      <alignment horizontal="center" vertical="center"/>
    </xf>
    <xf numFmtId="0" fontId="43" fillId="8" borderId="38" xfId="0" applyFont="1" applyFill="1" applyBorder="1" applyAlignment="1">
      <alignment horizontal="center" vertical="center"/>
    </xf>
    <xf numFmtId="0" fontId="43" fillId="8" borderId="39" xfId="0" applyFont="1" applyFill="1" applyBorder="1" applyAlignment="1">
      <alignment horizontal="center" vertical="center"/>
    </xf>
    <xf numFmtId="0" fontId="43" fillId="8" borderId="40" xfId="0" applyFont="1" applyFill="1" applyBorder="1" applyAlignment="1">
      <alignment horizontal="center" vertical="center"/>
    </xf>
    <xf numFmtId="0" fontId="43" fillId="8" borderId="41" xfId="0" applyFont="1" applyFill="1" applyBorder="1" applyAlignment="1">
      <alignment horizontal="center" vertical="center"/>
    </xf>
    <xf numFmtId="0" fontId="43" fillId="8" borderId="42" xfId="0" applyFont="1" applyFill="1" applyBorder="1" applyAlignment="1">
      <alignment horizontal="center" vertical="center"/>
    </xf>
    <xf numFmtId="0" fontId="43" fillId="8" borderId="43" xfId="0" applyFont="1" applyFill="1" applyBorder="1" applyAlignment="1">
      <alignment horizontal="center" vertical="center"/>
    </xf>
    <xf numFmtId="44" fontId="43" fillId="8" borderId="39" xfId="2" applyFont="1" applyFill="1" applyBorder="1" applyAlignment="1">
      <alignment horizontal="center" vertical="center"/>
    </xf>
    <xf numFmtId="44" fontId="43" fillId="8" borderId="40" xfId="2" applyFont="1" applyFill="1" applyBorder="1" applyAlignment="1">
      <alignment horizontal="center" vertical="center"/>
    </xf>
    <xf numFmtId="44" fontId="43" fillId="8" borderId="42" xfId="2" applyFont="1" applyFill="1" applyBorder="1" applyAlignment="1">
      <alignment horizontal="center" vertical="center"/>
    </xf>
    <xf numFmtId="44" fontId="43" fillId="8" borderId="43" xfId="2" applyFont="1" applyFill="1" applyBorder="1" applyAlignment="1">
      <alignment horizontal="center" vertical="center"/>
    </xf>
    <xf numFmtId="0" fontId="43" fillId="14" borderId="38" xfId="0" applyFont="1" applyFill="1" applyBorder="1" applyAlignment="1">
      <alignment horizontal="center" vertical="center"/>
    </xf>
    <xf numFmtId="0" fontId="43" fillId="14" borderId="39" xfId="0" applyFont="1" applyFill="1" applyBorder="1" applyAlignment="1">
      <alignment horizontal="center" vertical="center"/>
    </xf>
    <xf numFmtId="0" fontId="43" fillId="14" borderId="40" xfId="0" applyFont="1" applyFill="1" applyBorder="1" applyAlignment="1">
      <alignment horizontal="center" vertical="center"/>
    </xf>
    <xf numFmtId="0" fontId="43" fillId="14" borderId="41" xfId="0" applyFont="1" applyFill="1" applyBorder="1" applyAlignment="1">
      <alignment horizontal="center" vertical="center"/>
    </xf>
    <xf numFmtId="0" fontId="43" fillId="14" borderId="42" xfId="0" applyFont="1" applyFill="1" applyBorder="1" applyAlignment="1">
      <alignment horizontal="center" vertical="center"/>
    </xf>
    <xf numFmtId="0" fontId="43" fillId="14" borderId="43" xfId="0" applyFont="1" applyFill="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46" xfId="0" applyFont="1" applyBorder="1" applyAlignment="1">
      <alignment horizontal="center" vertical="center"/>
    </xf>
    <xf numFmtId="0" fontId="5" fillId="0" borderId="25" xfId="0" applyFont="1" applyBorder="1" applyAlignment="1">
      <alignment horizontal="center" vertical="center"/>
    </xf>
    <xf numFmtId="0" fontId="4" fillId="18" borderId="0" xfId="0" applyFont="1" applyFill="1" applyBorder="1" applyAlignment="1">
      <alignment horizontal="left" vertical="center"/>
    </xf>
    <xf numFmtId="0" fontId="4" fillId="18" borderId="44" xfId="0" applyFont="1" applyFill="1" applyBorder="1" applyAlignment="1">
      <alignment horizontal="left"/>
    </xf>
    <xf numFmtId="0" fontId="4" fillId="18" borderId="0" xfId="0" applyFont="1" applyFill="1" applyBorder="1" applyAlignment="1">
      <alignment horizontal="left"/>
    </xf>
    <xf numFmtId="0" fontId="4" fillId="2" borderId="0" xfId="0" applyFont="1" applyFill="1" applyBorder="1" applyAlignment="1">
      <alignment horizontal="left" vertical="center"/>
    </xf>
    <xf numFmtId="0" fontId="4" fillId="20" borderId="0" xfId="0" applyFont="1" applyFill="1" applyBorder="1" applyAlignment="1">
      <alignment horizontal="left" vertical="center"/>
    </xf>
    <xf numFmtId="0" fontId="4" fillId="17" borderId="51" xfId="0" applyFont="1" applyFill="1" applyBorder="1" applyAlignment="1">
      <alignment horizontal="center" vertical="center"/>
    </xf>
    <xf numFmtId="0" fontId="4" fillId="17" borderId="52" xfId="0" applyFont="1" applyFill="1" applyBorder="1" applyAlignment="1">
      <alignment horizontal="center" vertical="center"/>
    </xf>
    <xf numFmtId="0" fontId="4" fillId="17" borderId="46" xfId="0" applyFont="1" applyFill="1" applyBorder="1" applyAlignment="1">
      <alignment horizontal="center" vertical="center"/>
    </xf>
    <xf numFmtId="0" fontId="4" fillId="17" borderId="25" xfId="0" applyFont="1" applyFill="1" applyBorder="1" applyAlignment="1">
      <alignment horizontal="center" vertical="center"/>
    </xf>
    <xf numFmtId="0" fontId="19" fillId="18" borderId="10" xfId="0" applyFont="1" applyFill="1" applyBorder="1" applyAlignment="1">
      <alignment horizontal="left"/>
    </xf>
    <xf numFmtId="0" fontId="19" fillId="18" borderId="32" xfId="0" applyFont="1" applyFill="1" applyBorder="1" applyAlignment="1">
      <alignment horizontal="left"/>
    </xf>
    <xf numFmtId="0" fontId="19" fillId="18" borderId="33" xfId="0" applyFont="1" applyFill="1" applyBorder="1" applyAlignment="1">
      <alignment horizontal="left"/>
    </xf>
    <xf numFmtId="0" fontId="19" fillId="18" borderId="34" xfId="0" applyFont="1" applyFill="1" applyBorder="1" applyAlignment="1">
      <alignment horizontal="left"/>
    </xf>
    <xf numFmtId="0" fontId="19" fillId="18" borderId="0" xfId="0" applyFont="1" applyFill="1" applyBorder="1" applyAlignment="1">
      <alignment horizontal="left"/>
    </xf>
    <xf numFmtId="0" fontId="19" fillId="18" borderId="35" xfId="0" applyFont="1" applyFill="1" applyBorder="1" applyAlignment="1">
      <alignment horizontal="left"/>
    </xf>
    <xf numFmtId="0" fontId="14" fillId="9" borderId="51" xfId="0" applyFont="1" applyFill="1" applyBorder="1" applyAlignment="1">
      <alignment horizontal="right" vertical="center"/>
    </xf>
    <xf numFmtId="0" fontId="14" fillId="9" borderId="52" xfId="0" applyFont="1" applyFill="1" applyBorder="1" applyAlignment="1">
      <alignment horizontal="right" vertical="center"/>
    </xf>
    <xf numFmtId="0" fontId="14" fillId="9" borderId="48" xfId="0" applyFont="1" applyFill="1" applyBorder="1" applyAlignment="1">
      <alignment horizontal="right" vertical="center"/>
    </xf>
    <xf numFmtId="0" fontId="14" fillId="9" borderId="49" xfId="0" applyFont="1" applyFill="1" applyBorder="1" applyAlignment="1">
      <alignment horizontal="right" vertical="center"/>
    </xf>
    <xf numFmtId="170" fontId="14" fillId="9" borderId="52" xfId="2" applyNumberFormat="1" applyFont="1" applyFill="1" applyBorder="1" applyAlignment="1">
      <alignment horizontal="center" vertical="center"/>
    </xf>
    <xf numFmtId="170" fontId="14" fillId="9" borderId="49" xfId="2" applyNumberFormat="1" applyFont="1" applyFill="1" applyBorder="1" applyAlignment="1">
      <alignment horizontal="center" vertical="center"/>
    </xf>
    <xf numFmtId="0" fontId="14" fillId="5" borderId="51" xfId="0" applyFont="1" applyFill="1" applyBorder="1" applyAlignment="1">
      <alignment horizontal="right" vertical="center"/>
    </xf>
    <xf numFmtId="0" fontId="14" fillId="5" borderId="52" xfId="0" applyFont="1" applyFill="1" applyBorder="1" applyAlignment="1">
      <alignment horizontal="right" vertical="center"/>
    </xf>
    <xf numFmtId="0" fontId="14" fillId="5" borderId="48" xfId="0" applyFont="1" applyFill="1" applyBorder="1" applyAlignment="1">
      <alignment horizontal="right" vertical="center"/>
    </xf>
    <xf numFmtId="0" fontId="14" fillId="5" borderId="49" xfId="0" applyFont="1" applyFill="1" applyBorder="1" applyAlignment="1">
      <alignment horizontal="right" vertical="center"/>
    </xf>
    <xf numFmtId="44" fontId="14" fillId="5" borderId="52" xfId="2" applyFont="1" applyFill="1" applyBorder="1" applyAlignment="1">
      <alignment horizontal="center" vertical="center"/>
    </xf>
    <xf numFmtId="44" fontId="14" fillId="5" borderId="49" xfId="2" applyFont="1" applyFill="1" applyBorder="1" applyAlignment="1">
      <alignment horizontal="center" vertical="center"/>
    </xf>
    <xf numFmtId="0" fontId="14" fillId="2" borderId="51" xfId="0" applyFont="1" applyFill="1" applyBorder="1" applyAlignment="1">
      <alignment horizontal="right" vertical="center"/>
    </xf>
    <xf numFmtId="0" fontId="14" fillId="2" borderId="52" xfId="0" applyFont="1" applyFill="1" applyBorder="1" applyAlignment="1">
      <alignment horizontal="right" vertical="center"/>
    </xf>
    <xf numFmtId="0" fontId="14" fillId="2" borderId="48" xfId="0" applyFont="1" applyFill="1" applyBorder="1" applyAlignment="1">
      <alignment horizontal="right" vertical="center"/>
    </xf>
    <xf numFmtId="0" fontId="14" fillId="2" borderId="49" xfId="0" applyFont="1" applyFill="1" applyBorder="1" applyAlignment="1">
      <alignment horizontal="right" vertical="center"/>
    </xf>
    <xf numFmtId="44" fontId="14" fillId="2" borderId="52" xfId="2" applyFont="1" applyFill="1" applyBorder="1" applyAlignment="1">
      <alignment horizontal="center" vertical="center"/>
    </xf>
    <xf numFmtId="44" fontId="14" fillId="2" borderId="49" xfId="2" applyFont="1" applyFill="1" applyBorder="1" applyAlignment="1">
      <alignment horizontal="center" vertical="center"/>
    </xf>
    <xf numFmtId="0" fontId="19" fillId="18" borderId="14" xfId="0" applyFont="1" applyFill="1" applyBorder="1" applyAlignment="1">
      <alignment horizontal="left"/>
    </xf>
    <xf numFmtId="0" fontId="19" fillId="18" borderId="36" xfId="0" applyFont="1" applyFill="1" applyBorder="1" applyAlignment="1">
      <alignment horizontal="left"/>
    </xf>
    <xf numFmtId="0" fontId="19" fillId="18" borderId="37" xfId="0" applyFont="1" applyFill="1" applyBorder="1" applyAlignment="1">
      <alignment horizontal="left"/>
    </xf>
    <xf numFmtId="0" fontId="4" fillId="9" borderId="53" xfId="0" applyFont="1" applyFill="1" applyBorder="1" applyAlignment="1">
      <alignment horizontal="center" vertical="center"/>
    </xf>
    <xf numFmtId="0" fontId="4" fillId="9" borderId="47" xfId="0" applyFont="1" applyFill="1" applyBorder="1" applyAlignment="1">
      <alignment horizontal="center" vertical="center"/>
    </xf>
    <xf numFmtId="0" fontId="4" fillId="9" borderId="51" xfId="0" applyFont="1" applyFill="1" applyBorder="1" applyAlignment="1">
      <alignment horizontal="center" vertical="center"/>
    </xf>
    <xf numFmtId="0" fontId="4" fillId="9" borderId="52" xfId="0" applyFont="1" applyFill="1" applyBorder="1" applyAlignment="1">
      <alignment horizontal="center" vertical="center"/>
    </xf>
    <xf numFmtId="0" fontId="4" fillId="9" borderId="46" xfId="0" applyFont="1" applyFill="1" applyBorder="1" applyAlignment="1">
      <alignment horizontal="center" vertical="center"/>
    </xf>
    <xf numFmtId="0" fontId="4" fillId="9" borderId="25" xfId="0" applyFont="1" applyFill="1" applyBorder="1" applyAlignment="1">
      <alignment horizontal="center" vertical="center"/>
    </xf>
    <xf numFmtId="168" fontId="41" fillId="9" borderId="53" xfId="2" applyNumberFormat="1" applyFont="1" applyFill="1" applyBorder="1" applyAlignment="1">
      <alignment horizontal="center" vertical="center"/>
    </xf>
    <xf numFmtId="168" fontId="41" fillId="9" borderId="50" xfId="2" applyNumberFormat="1" applyFont="1" applyFill="1" applyBorder="1" applyAlignment="1">
      <alignment horizontal="center" vertical="center"/>
    </xf>
    <xf numFmtId="0" fontId="43" fillId="17" borderId="38" xfId="0" applyFont="1" applyFill="1" applyBorder="1" applyAlignment="1">
      <alignment horizontal="center" vertical="center"/>
    </xf>
    <xf numFmtId="0" fontId="43" fillId="17" borderId="39" xfId="0" applyFont="1" applyFill="1" applyBorder="1" applyAlignment="1">
      <alignment horizontal="center" vertical="center"/>
    </xf>
    <xf numFmtId="0" fontId="43" fillId="17" borderId="40" xfId="0" applyFont="1" applyFill="1" applyBorder="1" applyAlignment="1">
      <alignment horizontal="center" vertical="center"/>
    </xf>
    <xf numFmtId="0" fontId="43" fillId="17" borderId="41" xfId="0" applyFont="1" applyFill="1" applyBorder="1" applyAlignment="1">
      <alignment horizontal="center" vertical="center"/>
    </xf>
    <xf numFmtId="0" fontId="43" fillId="17" borderId="42" xfId="0" applyFont="1" applyFill="1" applyBorder="1" applyAlignment="1">
      <alignment horizontal="center" vertical="center"/>
    </xf>
    <xf numFmtId="0" fontId="43" fillId="17" borderId="43" xfId="0" applyFont="1" applyFill="1" applyBorder="1" applyAlignment="1">
      <alignment horizontal="center" vertical="center"/>
    </xf>
    <xf numFmtId="0" fontId="4" fillId="5" borderId="51"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46"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53" xfId="0" applyFont="1" applyFill="1" applyBorder="1" applyAlignment="1">
      <alignment horizontal="center" vertical="center"/>
    </xf>
    <xf numFmtId="0" fontId="4" fillId="5" borderId="47" xfId="0" applyFont="1" applyFill="1" applyBorder="1" applyAlignment="1">
      <alignment horizontal="center" vertical="center"/>
    </xf>
    <xf numFmtId="168" fontId="41" fillId="5" borderId="53" xfId="2" applyNumberFormat="1" applyFont="1" applyFill="1" applyBorder="1" applyAlignment="1">
      <alignment horizontal="center" vertical="center"/>
    </xf>
    <xf numFmtId="168" fontId="41" fillId="5" borderId="50" xfId="2" applyNumberFormat="1" applyFont="1" applyFill="1" applyBorder="1" applyAlignment="1">
      <alignment horizontal="center" vertical="center"/>
    </xf>
    <xf numFmtId="174" fontId="24" fillId="5" borderId="61" xfId="2" applyNumberFormat="1" applyFont="1" applyFill="1" applyBorder="1" applyAlignment="1">
      <alignment horizontal="center" vertical="center"/>
    </xf>
    <xf numFmtId="174" fontId="24" fillId="5" borderId="62" xfId="2" applyNumberFormat="1"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25" xfId="0" applyFont="1" applyFill="1" applyBorder="1" applyAlignment="1">
      <alignment horizontal="center" vertical="center"/>
    </xf>
    <xf numFmtId="0" fontId="14" fillId="17" borderId="51" xfId="0" applyFont="1" applyFill="1" applyBorder="1" applyAlignment="1">
      <alignment horizontal="right" vertical="center"/>
    </xf>
    <xf numFmtId="0" fontId="14" fillId="17" borderId="52" xfId="0" applyFont="1" applyFill="1" applyBorder="1" applyAlignment="1">
      <alignment horizontal="right" vertical="center"/>
    </xf>
    <xf numFmtId="0" fontId="14" fillId="17" borderId="48" xfId="0" applyFont="1" applyFill="1" applyBorder="1" applyAlignment="1">
      <alignment horizontal="right" vertical="center"/>
    </xf>
    <xf numFmtId="0" fontId="14" fillId="17" borderId="49" xfId="0" applyFont="1" applyFill="1" applyBorder="1" applyAlignment="1">
      <alignment horizontal="right" vertical="center"/>
    </xf>
    <xf numFmtId="44" fontId="14" fillId="17" borderId="52" xfId="2" applyFont="1" applyFill="1" applyBorder="1" applyAlignment="1">
      <alignment horizontal="center" vertical="center"/>
    </xf>
    <xf numFmtId="44" fontId="14" fillId="17" borderId="49" xfId="2" applyFont="1" applyFill="1" applyBorder="1" applyAlignment="1">
      <alignment horizontal="center" vertical="center"/>
    </xf>
    <xf numFmtId="0" fontId="4" fillId="4" borderId="51"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25" xfId="0" applyFont="1" applyFill="1" applyBorder="1" applyAlignment="1">
      <alignment horizontal="center" vertical="center"/>
    </xf>
    <xf numFmtId="0" fontId="4" fillId="15" borderId="53" xfId="0" applyFont="1" applyFill="1" applyBorder="1" applyAlignment="1">
      <alignment horizontal="center" vertical="center"/>
    </xf>
    <xf numFmtId="0" fontId="4" fillId="15" borderId="47" xfId="0" applyFont="1" applyFill="1" applyBorder="1" applyAlignment="1">
      <alignment horizontal="center" vertical="center"/>
    </xf>
    <xf numFmtId="0" fontId="4" fillId="4" borderId="53" xfId="0" applyFont="1" applyFill="1" applyBorder="1" applyAlignment="1">
      <alignment horizontal="center" vertical="center"/>
    </xf>
    <xf numFmtId="0" fontId="4" fillId="4" borderId="47" xfId="0" applyFont="1" applyFill="1" applyBorder="1" applyAlignment="1">
      <alignment horizontal="center" vertical="center"/>
    </xf>
    <xf numFmtId="168" fontId="41" fillId="15" borderId="55" xfId="2" applyNumberFormat="1" applyFont="1" applyFill="1" applyBorder="1" applyAlignment="1">
      <alignment horizontal="center" vertical="center"/>
    </xf>
    <xf numFmtId="168" fontId="41" fillId="15" borderId="56" xfId="2" applyNumberFormat="1" applyFont="1" applyFill="1" applyBorder="1" applyAlignment="1">
      <alignment horizontal="center" vertical="center"/>
    </xf>
    <xf numFmtId="174" fontId="24" fillId="15" borderId="55" xfId="2" applyNumberFormat="1" applyFont="1" applyFill="1" applyBorder="1" applyAlignment="1">
      <alignment horizontal="center" vertical="center"/>
    </xf>
    <xf numFmtId="174" fontId="24" fillId="15" borderId="56" xfId="2" applyNumberFormat="1" applyFont="1" applyFill="1" applyBorder="1" applyAlignment="1">
      <alignment horizontal="center" vertical="center"/>
    </xf>
    <xf numFmtId="168" fontId="41" fillId="4" borderId="55" xfId="2" applyNumberFormat="1" applyFont="1" applyFill="1" applyBorder="1" applyAlignment="1">
      <alignment horizontal="center" vertical="center"/>
    </xf>
    <xf numFmtId="168" fontId="41" fillId="4" borderId="56" xfId="2" applyNumberFormat="1" applyFont="1" applyFill="1" applyBorder="1" applyAlignment="1">
      <alignment horizontal="center" vertical="center"/>
    </xf>
    <xf numFmtId="44" fontId="14" fillId="4" borderId="52" xfId="2" applyFont="1" applyFill="1" applyBorder="1" applyAlignment="1">
      <alignment horizontal="center" vertical="center"/>
    </xf>
    <xf numFmtId="44" fontId="14" fillId="4" borderId="49" xfId="2" applyFont="1" applyFill="1" applyBorder="1" applyAlignment="1">
      <alignment horizontal="center" vertical="center"/>
    </xf>
    <xf numFmtId="0" fontId="17" fillId="4" borderId="51" xfId="0" applyFont="1" applyFill="1" applyBorder="1" applyAlignment="1">
      <alignment horizontal="right" vertical="center"/>
    </xf>
    <xf numFmtId="0" fontId="17" fillId="4" borderId="52" xfId="0" applyFont="1" applyFill="1" applyBorder="1" applyAlignment="1">
      <alignment horizontal="right" vertical="center"/>
    </xf>
    <xf numFmtId="0" fontId="17" fillId="4" borderId="48" xfId="0" applyFont="1" applyFill="1" applyBorder="1" applyAlignment="1">
      <alignment horizontal="right" vertical="center"/>
    </xf>
    <xf numFmtId="0" fontId="17" fillId="4" borderId="49" xfId="0" applyFont="1" applyFill="1" applyBorder="1" applyAlignment="1">
      <alignment horizontal="right" vertical="center"/>
    </xf>
    <xf numFmtId="0" fontId="4" fillId="15" borderId="51" xfId="0" applyFont="1" applyFill="1" applyBorder="1" applyAlignment="1">
      <alignment horizontal="center" vertical="center"/>
    </xf>
    <xf numFmtId="0" fontId="4" fillId="15" borderId="52" xfId="0" applyFont="1" applyFill="1" applyBorder="1" applyAlignment="1">
      <alignment horizontal="center" vertical="center"/>
    </xf>
    <xf numFmtId="0" fontId="4" fillId="15" borderId="46" xfId="0" applyFont="1" applyFill="1" applyBorder="1" applyAlignment="1">
      <alignment horizontal="center" vertical="center"/>
    </xf>
    <xf numFmtId="0" fontId="4" fillId="15" borderId="25" xfId="0" applyFont="1" applyFill="1" applyBorder="1" applyAlignment="1">
      <alignment horizontal="center" vertical="center"/>
    </xf>
    <xf numFmtId="0" fontId="4" fillId="8" borderId="51" xfId="0" applyFont="1" applyFill="1" applyBorder="1" applyAlignment="1">
      <alignment horizontal="center" vertical="center"/>
    </xf>
    <xf numFmtId="0" fontId="4" fillId="8" borderId="52" xfId="0" applyFont="1" applyFill="1" applyBorder="1" applyAlignment="1">
      <alignment horizontal="center" vertical="center"/>
    </xf>
    <xf numFmtId="0" fontId="4" fillId="8" borderId="46" xfId="0" applyFont="1" applyFill="1" applyBorder="1" applyAlignment="1">
      <alignment horizontal="center" vertical="center"/>
    </xf>
    <xf numFmtId="0" fontId="4" fillId="8" borderId="25" xfId="0" applyFont="1" applyFill="1" applyBorder="1" applyAlignment="1">
      <alignment horizontal="center" vertical="center"/>
    </xf>
    <xf numFmtId="0" fontId="4" fillId="16" borderId="51" xfId="0" applyFont="1" applyFill="1" applyBorder="1" applyAlignment="1">
      <alignment horizontal="center" vertical="center"/>
    </xf>
    <xf numFmtId="0" fontId="4" fillId="16" borderId="52" xfId="0" applyFont="1" applyFill="1" applyBorder="1" applyAlignment="1">
      <alignment horizontal="center" vertical="center"/>
    </xf>
    <xf numFmtId="0" fontId="4" fillId="16" borderId="46" xfId="0" applyFont="1" applyFill="1" applyBorder="1" applyAlignment="1">
      <alignment horizontal="center" vertical="center"/>
    </xf>
    <xf numFmtId="0" fontId="4" fillId="16" borderId="25" xfId="0" applyFont="1" applyFill="1" applyBorder="1" applyAlignment="1">
      <alignment horizontal="center" vertical="center"/>
    </xf>
    <xf numFmtId="0" fontId="4" fillId="8" borderId="53" xfId="0" applyFont="1" applyFill="1" applyBorder="1" applyAlignment="1">
      <alignment horizontal="center" vertical="center"/>
    </xf>
    <xf numFmtId="0" fontId="4" fillId="8" borderId="47" xfId="0" applyFont="1" applyFill="1" applyBorder="1" applyAlignment="1">
      <alignment horizontal="center" vertical="center"/>
    </xf>
    <xf numFmtId="0" fontId="4" fillId="16" borderId="53" xfId="0" applyFont="1" applyFill="1" applyBorder="1" applyAlignment="1">
      <alignment horizontal="center" vertical="center"/>
    </xf>
    <xf numFmtId="0" fontId="4" fillId="16" borderId="47" xfId="0" applyFont="1" applyFill="1" applyBorder="1" applyAlignment="1">
      <alignment horizontal="center" vertical="center"/>
    </xf>
    <xf numFmtId="168" fontId="41" fillId="8" borderId="53" xfId="2" applyNumberFormat="1" applyFont="1" applyFill="1" applyBorder="1" applyAlignment="1">
      <alignment horizontal="center" vertical="center"/>
    </xf>
    <xf numFmtId="168" fontId="41" fillId="8" borderId="50" xfId="2" applyNumberFormat="1" applyFont="1" applyFill="1" applyBorder="1" applyAlignment="1">
      <alignment horizontal="center" vertical="center"/>
    </xf>
    <xf numFmtId="168" fontId="41" fillId="14" borderId="53" xfId="2" applyNumberFormat="1" applyFont="1" applyFill="1" applyBorder="1" applyAlignment="1">
      <alignment horizontal="center" vertical="center"/>
    </xf>
    <xf numFmtId="168" fontId="41" fillId="14" borderId="50" xfId="2" applyNumberFormat="1" applyFont="1" applyFill="1" applyBorder="1" applyAlignment="1">
      <alignment horizontal="center" vertical="center"/>
    </xf>
    <xf numFmtId="174" fontId="24" fillId="14" borderId="53" xfId="2" applyNumberFormat="1" applyFont="1" applyFill="1" applyBorder="1" applyAlignment="1">
      <alignment horizontal="center" vertical="center"/>
    </xf>
    <xf numFmtId="174" fontId="24" fillId="14" borderId="50" xfId="2" applyNumberFormat="1" applyFont="1" applyFill="1" applyBorder="1" applyAlignment="1">
      <alignment horizontal="center" vertical="center"/>
    </xf>
    <xf numFmtId="44" fontId="14" fillId="8" borderId="54" xfId="2" applyFont="1" applyFill="1" applyBorder="1" applyAlignment="1">
      <alignment horizontal="right" vertical="center"/>
    </xf>
    <xf numFmtId="44" fontId="14" fillId="8" borderId="58" xfId="2" applyFont="1" applyFill="1" applyBorder="1" applyAlignment="1">
      <alignment horizontal="right" vertical="center"/>
    </xf>
    <xf numFmtId="44" fontId="14" fillId="8" borderId="52" xfId="2" applyFont="1" applyFill="1" applyBorder="1" applyAlignment="1">
      <alignment horizontal="center" vertical="center"/>
    </xf>
    <xf numFmtId="44" fontId="14" fillId="8" borderId="49" xfId="2" applyFont="1" applyFill="1" applyBorder="1" applyAlignment="1">
      <alignment horizontal="center" vertical="center"/>
    </xf>
    <xf numFmtId="44" fontId="43" fillId="8" borderId="59" xfId="2" applyFont="1" applyFill="1" applyBorder="1" applyAlignment="1">
      <alignment horizontal="center" vertical="center"/>
    </xf>
    <xf numFmtId="44" fontId="43" fillId="8" borderId="60" xfId="2" applyFont="1" applyFill="1" applyBorder="1" applyAlignment="1">
      <alignment horizontal="center" vertical="center"/>
    </xf>
    <xf numFmtId="0" fontId="14" fillId="8" borderId="51" xfId="0" applyFont="1" applyFill="1" applyBorder="1" applyAlignment="1">
      <alignment horizontal="right" vertical="center"/>
    </xf>
    <xf numFmtId="0" fontId="14" fillId="8" borderId="52" xfId="0" applyFont="1" applyFill="1" applyBorder="1" applyAlignment="1">
      <alignment horizontal="right" vertical="center"/>
    </xf>
    <xf numFmtId="0" fontId="14" fillId="8" borderId="48" xfId="0" applyFont="1" applyFill="1" applyBorder="1" applyAlignment="1">
      <alignment horizontal="right" vertical="center"/>
    </xf>
    <xf numFmtId="0" fontId="14" fillId="8" borderId="49" xfId="0" applyFont="1" applyFill="1" applyBorder="1" applyAlignment="1">
      <alignment horizontal="right" vertical="center"/>
    </xf>
    <xf numFmtId="44" fontId="14" fillId="8" borderId="52" xfId="2" applyFont="1" applyFill="1" applyBorder="1" applyAlignment="1">
      <alignment horizontal="right" vertical="center"/>
    </xf>
    <xf numFmtId="44" fontId="14" fillId="8" borderId="49" xfId="2" applyFont="1" applyFill="1" applyBorder="1" applyAlignment="1">
      <alignment horizontal="right" vertical="center"/>
    </xf>
    <xf numFmtId="44" fontId="14" fillId="14" borderId="54" xfId="2" applyFont="1" applyFill="1" applyBorder="1" applyAlignment="1">
      <alignment horizontal="right" vertical="center"/>
    </xf>
    <xf numFmtId="44" fontId="14" fillId="14" borderId="58" xfId="2" applyFont="1" applyFill="1" applyBorder="1" applyAlignment="1">
      <alignment horizontal="right" vertical="center"/>
    </xf>
    <xf numFmtId="44" fontId="14" fillId="14" borderId="52" xfId="2" applyFont="1" applyFill="1" applyBorder="1" applyAlignment="1">
      <alignment horizontal="center" vertical="center"/>
    </xf>
    <xf numFmtId="44" fontId="14" fillId="14" borderId="49" xfId="2" applyFont="1" applyFill="1" applyBorder="1" applyAlignment="1">
      <alignment horizontal="center" vertical="center"/>
    </xf>
    <xf numFmtId="44" fontId="43" fillId="14" borderId="39" xfId="2" applyFont="1" applyFill="1" applyBorder="1" applyAlignment="1">
      <alignment horizontal="center" vertical="center"/>
    </xf>
    <xf numFmtId="44" fontId="43" fillId="14" borderId="59" xfId="2" applyFont="1" applyFill="1" applyBorder="1" applyAlignment="1">
      <alignment horizontal="center" vertical="center"/>
    </xf>
    <xf numFmtId="44" fontId="43" fillId="14" borderId="42" xfId="2" applyFont="1" applyFill="1" applyBorder="1" applyAlignment="1">
      <alignment horizontal="center" vertical="center"/>
    </xf>
    <xf numFmtId="44" fontId="43" fillId="14" borderId="60" xfId="2" applyFont="1" applyFill="1" applyBorder="1" applyAlignment="1">
      <alignment horizontal="center" vertical="center"/>
    </xf>
    <xf numFmtId="0" fontId="4" fillId="2" borderId="53" xfId="0" applyFont="1" applyFill="1" applyBorder="1" applyAlignment="1">
      <alignment horizontal="center" vertical="center"/>
    </xf>
    <xf numFmtId="0" fontId="4" fillId="2" borderId="47" xfId="0" applyFont="1" applyFill="1" applyBorder="1" applyAlignment="1">
      <alignment horizontal="center" vertical="center"/>
    </xf>
    <xf numFmtId="0" fontId="4" fillId="17" borderId="53" xfId="0" applyFont="1" applyFill="1" applyBorder="1" applyAlignment="1">
      <alignment horizontal="center" vertical="center"/>
    </xf>
    <xf numFmtId="0" fontId="4" fillId="17" borderId="47" xfId="0" applyFont="1" applyFill="1" applyBorder="1" applyAlignment="1">
      <alignment horizontal="center" vertical="center"/>
    </xf>
    <xf numFmtId="168" fontId="41" fillId="2" borderId="53" xfId="2" applyNumberFormat="1" applyFont="1" applyFill="1" applyBorder="1" applyAlignment="1">
      <alignment horizontal="center" vertical="center"/>
    </xf>
    <xf numFmtId="168" fontId="41" fillId="2" borderId="50" xfId="2" applyNumberFormat="1" applyFont="1" applyFill="1" applyBorder="1" applyAlignment="1">
      <alignment horizontal="center" vertical="center"/>
    </xf>
    <xf numFmtId="168" fontId="41" fillId="17" borderId="53" xfId="2" applyNumberFormat="1" applyFont="1" applyFill="1" applyBorder="1" applyAlignment="1">
      <alignment horizontal="right" vertical="center"/>
    </xf>
    <xf numFmtId="168" fontId="41" fillId="17" borderId="50" xfId="2" applyNumberFormat="1" applyFont="1" applyFill="1" applyBorder="1" applyAlignment="1">
      <alignment horizontal="right" vertical="center"/>
    </xf>
    <xf numFmtId="44" fontId="14" fillId="2" borderId="54" xfId="2" applyFont="1" applyFill="1" applyBorder="1" applyAlignment="1">
      <alignment horizontal="center" vertical="center"/>
    </xf>
    <xf numFmtId="44" fontId="14" fillId="2" borderId="58" xfId="2" applyFont="1" applyFill="1" applyBorder="1" applyAlignment="1">
      <alignment horizontal="center" vertical="center"/>
    </xf>
    <xf numFmtId="0" fontId="43" fillId="2" borderId="38" xfId="0" applyFont="1" applyFill="1" applyBorder="1" applyAlignment="1">
      <alignment horizontal="center" vertical="center"/>
    </xf>
    <xf numFmtId="0" fontId="43" fillId="2" borderId="39" xfId="0" applyFont="1" applyFill="1" applyBorder="1" applyAlignment="1">
      <alignment horizontal="center" vertical="center"/>
    </xf>
    <xf numFmtId="0" fontId="43" fillId="2" borderId="40" xfId="0" applyFont="1" applyFill="1" applyBorder="1" applyAlignment="1">
      <alignment horizontal="center" vertical="center"/>
    </xf>
    <xf numFmtId="0" fontId="43" fillId="2" borderId="41" xfId="0" applyFont="1" applyFill="1" applyBorder="1" applyAlignment="1">
      <alignment horizontal="center" vertical="center"/>
    </xf>
    <xf numFmtId="0" fontId="43" fillId="2" borderId="42" xfId="0" applyFont="1" applyFill="1" applyBorder="1" applyAlignment="1">
      <alignment horizontal="center" vertical="center"/>
    </xf>
    <xf numFmtId="0" fontId="43" fillId="2" borderId="43" xfId="0" applyFont="1" applyFill="1" applyBorder="1" applyAlignment="1">
      <alignment horizontal="center" vertical="center"/>
    </xf>
    <xf numFmtId="44" fontId="43" fillId="2" borderId="38" xfId="2" applyFont="1" applyFill="1" applyBorder="1" applyAlignment="1">
      <alignment horizontal="center" vertical="center"/>
    </xf>
    <xf numFmtId="44" fontId="43" fillId="2" borderId="40" xfId="2" applyFont="1" applyFill="1" applyBorder="1" applyAlignment="1">
      <alignment horizontal="center" vertical="center"/>
    </xf>
    <xf numFmtId="44" fontId="43" fillId="2" borderId="41" xfId="2" applyFont="1" applyFill="1" applyBorder="1" applyAlignment="1">
      <alignment horizontal="center" vertical="center"/>
    </xf>
    <xf numFmtId="44" fontId="43" fillId="2" borderId="43" xfId="2" applyFont="1" applyFill="1" applyBorder="1" applyAlignment="1">
      <alignment horizontal="center" vertical="center"/>
    </xf>
    <xf numFmtId="44" fontId="14" fillId="17" borderId="54" xfId="2" applyFont="1" applyFill="1" applyBorder="1" applyAlignment="1">
      <alignment horizontal="right" vertical="center"/>
    </xf>
    <xf numFmtId="44" fontId="14" fillId="17" borderId="58" xfId="2" applyFont="1" applyFill="1" applyBorder="1" applyAlignment="1">
      <alignment horizontal="right" vertical="center"/>
    </xf>
    <xf numFmtId="44" fontId="14" fillId="17" borderId="52" xfId="2" applyFont="1" applyFill="1" applyBorder="1" applyAlignment="1">
      <alignment horizontal="right" vertical="center"/>
    </xf>
    <xf numFmtId="44" fontId="14" fillId="17" borderId="49" xfId="2" applyFont="1" applyFill="1" applyBorder="1" applyAlignment="1">
      <alignment horizontal="right" vertical="center"/>
    </xf>
    <xf numFmtId="44" fontId="43" fillId="17" borderId="59" xfId="2" applyFont="1" applyFill="1" applyBorder="1" applyAlignment="1">
      <alignment horizontal="center" vertical="center"/>
    </xf>
    <xf numFmtId="44" fontId="43" fillId="17" borderId="60" xfId="2" applyFont="1" applyFill="1" applyBorder="1" applyAlignment="1">
      <alignment horizontal="center" vertical="center"/>
    </xf>
    <xf numFmtId="170" fontId="14" fillId="9" borderId="54" xfId="2" applyNumberFormat="1" applyFont="1" applyFill="1" applyBorder="1" applyAlignment="1">
      <alignment horizontal="right" vertical="center"/>
    </xf>
    <xf numFmtId="170" fontId="14" fillId="9" borderId="58" xfId="2" applyNumberFormat="1" applyFont="1" applyFill="1" applyBorder="1" applyAlignment="1">
      <alignment horizontal="right" vertical="center"/>
    </xf>
    <xf numFmtId="0" fontId="44" fillId="9" borderId="38" xfId="0" applyFont="1" applyFill="1" applyBorder="1" applyAlignment="1">
      <alignment horizontal="center" vertical="center"/>
    </xf>
    <xf numFmtId="0" fontId="44" fillId="9" borderId="39" xfId="0" applyFont="1" applyFill="1" applyBorder="1" applyAlignment="1">
      <alignment horizontal="center" vertical="center"/>
    </xf>
    <xf numFmtId="0" fontId="44" fillId="9" borderId="40" xfId="0" applyFont="1" applyFill="1" applyBorder="1" applyAlignment="1">
      <alignment horizontal="center" vertical="center"/>
    </xf>
    <xf numFmtId="0" fontId="44" fillId="9" borderId="41" xfId="0" applyFont="1" applyFill="1" applyBorder="1" applyAlignment="1">
      <alignment horizontal="center" vertical="center"/>
    </xf>
    <xf numFmtId="0" fontId="44" fillId="9" borderId="42" xfId="0" applyFont="1" applyFill="1" applyBorder="1" applyAlignment="1">
      <alignment horizontal="center" vertical="center"/>
    </xf>
    <xf numFmtId="0" fontId="44" fillId="9" borderId="43" xfId="0" applyFont="1" applyFill="1" applyBorder="1" applyAlignment="1">
      <alignment horizontal="center" vertical="center"/>
    </xf>
    <xf numFmtId="170" fontId="44" fillId="9" borderId="39" xfId="2" applyNumberFormat="1" applyFont="1" applyFill="1" applyBorder="1" applyAlignment="1">
      <alignment horizontal="center" vertical="center"/>
    </xf>
    <xf numFmtId="170" fontId="44" fillId="9" borderId="40" xfId="2" applyNumberFormat="1" applyFont="1" applyFill="1" applyBorder="1" applyAlignment="1">
      <alignment horizontal="center" vertical="center"/>
    </xf>
    <xf numFmtId="170" fontId="44" fillId="9" borderId="42" xfId="2" applyNumberFormat="1" applyFont="1" applyFill="1" applyBorder="1" applyAlignment="1">
      <alignment horizontal="center" vertical="center"/>
    </xf>
    <xf numFmtId="170" fontId="44" fillId="9" borderId="43" xfId="2" applyNumberFormat="1" applyFont="1" applyFill="1" applyBorder="1" applyAlignment="1">
      <alignment horizontal="center" vertical="center"/>
    </xf>
    <xf numFmtId="0" fontId="43" fillId="9" borderId="38" xfId="0" applyFont="1" applyFill="1" applyBorder="1" applyAlignment="1">
      <alignment horizontal="center" vertical="center"/>
    </xf>
    <xf numFmtId="0" fontId="43" fillId="9" borderId="39" xfId="0" applyFont="1" applyFill="1" applyBorder="1" applyAlignment="1">
      <alignment horizontal="center" vertical="center"/>
    </xf>
    <xf numFmtId="0" fontId="43" fillId="9" borderId="40" xfId="0" applyFont="1" applyFill="1" applyBorder="1" applyAlignment="1">
      <alignment horizontal="center" vertical="center"/>
    </xf>
    <xf numFmtId="0" fontId="43" fillId="9" borderId="41" xfId="0" applyFont="1" applyFill="1" applyBorder="1" applyAlignment="1">
      <alignment horizontal="center" vertical="center"/>
    </xf>
    <xf numFmtId="0" fontId="43" fillId="9" borderId="42" xfId="0" applyFont="1" applyFill="1" applyBorder="1" applyAlignment="1">
      <alignment horizontal="center" vertical="center"/>
    </xf>
    <xf numFmtId="0" fontId="43" fillId="9" borderId="43" xfId="0" applyFont="1" applyFill="1" applyBorder="1" applyAlignment="1">
      <alignment horizontal="center" vertical="center"/>
    </xf>
    <xf numFmtId="170" fontId="43" fillId="9" borderId="39" xfId="2" applyNumberFormat="1" applyFont="1" applyFill="1" applyBorder="1" applyAlignment="1">
      <alignment horizontal="center" vertical="center"/>
    </xf>
    <xf numFmtId="170" fontId="43" fillId="9" borderId="59" xfId="2" applyNumberFormat="1" applyFont="1" applyFill="1" applyBorder="1" applyAlignment="1">
      <alignment horizontal="center" vertical="center"/>
    </xf>
    <xf numFmtId="170" fontId="43" fillId="9" borderId="42" xfId="2" applyNumberFormat="1" applyFont="1" applyFill="1" applyBorder="1" applyAlignment="1">
      <alignment horizontal="center" vertical="center"/>
    </xf>
    <xf numFmtId="170" fontId="43" fillId="9" borderId="60" xfId="2" applyNumberFormat="1" applyFont="1" applyFill="1" applyBorder="1" applyAlignment="1">
      <alignment horizontal="center" vertical="center"/>
    </xf>
    <xf numFmtId="44" fontId="44" fillId="5" borderId="38" xfId="2" applyFont="1" applyFill="1" applyBorder="1" applyAlignment="1">
      <alignment horizontal="center" vertical="center"/>
    </xf>
    <xf numFmtId="44" fontId="44" fillId="5" borderId="40" xfId="2" applyFont="1" applyFill="1" applyBorder="1" applyAlignment="1">
      <alignment horizontal="center" vertical="center"/>
    </xf>
    <xf numFmtId="44" fontId="44" fillId="5" borderId="41" xfId="2" applyFont="1" applyFill="1" applyBorder="1" applyAlignment="1">
      <alignment horizontal="center" vertical="center"/>
    </xf>
    <xf numFmtId="44" fontId="44" fillId="5" borderId="43" xfId="2" applyFont="1" applyFill="1" applyBorder="1" applyAlignment="1">
      <alignment horizontal="center" vertical="center"/>
    </xf>
    <xf numFmtId="0" fontId="44" fillId="5" borderId="38" xfId="0" applyFont="1" applyFill="1" applyBorder="1" applyAlignment="1">
      <alignment horizontal="center" vertical="center"/>
    </xf>
    <xf numFmtId="0" fontId="44" fillId="5" borderId="39" xfId="0" applyFont="1" applyFill="1" applyBorder="1" applyAlignment="1">
      <alignment horizontal="center" vertical="center"/>
    </xf>
    <xf numFmtId="0" fontId="44" fillId="5" borderId="40" xfId="0" applyFont="1" applyFill="1" applyBorder="1" applyAlignment="1">
      <alignment horizontal="center" vertical="center"/>
    </xf>
    <xf numFmtId="0" fontId="44" fillId="5" borderId="41" xfId="0" applyFont="1" applyFill="1" applyBorder="1" applyAlignment="1">
      <alignment horizontal="center" vertical="center"/>
    </xf>
    <xf numFmtId="0" fontId="44" fillId="5" borderId="42" xfId="0" applyFont="1" applyFill="1" applyBorder="1" applyAlignment="1">
      <alignment horizontal="center" vertical="center"/>
    </xf>
    <xf numFmtId="0" fontId="44" fillId="5" borderId="43" xfId="0" applyFont="1" applyFill="1" applyBorder="1" applyAlignment="1">
      <alignment horizontal="center" vertical="center"/>
    </xf>
    <xf numFmtId="44" fontId="14" fillId="5" borderId="54" xfId="2" applyFont="1" applyFill="1" applyBorder="1" applyAlignment="1">
      <alignment horizontal="right" vertical="center"/>
    </xf>
    <xf numFmtId="44" fontId="14" fillId="5" borderId="58" xfId="2" applyFont="1" applyFill="1" applyBorder="1" applyAlignment="1">
      <alignment horizontal="right" vertical="center"/>
    </xf>
    <xf numFmtId="44" fontId="43" fillId="5" borderId="38" xfId="2" applyFont="1" applyFill="1" applyBorder="1" applyAlignment="1">
      <alignment horizontal="center" vertical="center"/>
    </xf>
    <xf numFmtId="44" fontId="43" fillId="5" borderId="40" xfId="2" applyFont="1" applyFill="1" applyBorder="1" applyAlignment="1">
      <alignment horizontal="center" vertical="center"/>
    </xf>
    <xf numFmtId="44" fontId="43" fillId="5" borderId="41" xfId="2" applyFont="1" applyFill="1" applyBorder="1" applyAlignment="1">
      <alignment horizontal="center" vertical="center"/>
    </xf>
    <xf numFmtId="44" fontId="43" fillId="5" borderId="43" xfId="2" applyFont="1" applyFill="1" applyBorder="1" applyAlignment="1">
      <alignment horizontal="center" vertical="center"/>
    </xf>
    <xf numFmtId="0" fontId="43" fillId="5" borderId="38" xfId="0" applyFont="1" applyFill="1" applyBorder="1" applyAlignment="1">
      <alignment horizontal="center" vertical="center"/>
    </xf>
    <xf numFmtId="0" fontId="43" fillId="5" borderId="39" xfId="0" applyFont="1" applyFill="1" applyBorder="1" applyAlignment="1">
      <alignment horizontal="center" vertical="center"/>
    </xf>
    <xf numFmtId="0" fontId="43" fillId="5" borderId="41" xfId="0" applyFont="1" applyFill="1" applyBorder="1" applyAlignment="1">
      <alignment horizontal="center" vertical="center"/>
    </xf>
    <xf numFmtId="0" fontId="43" fillId="5" borderId="42" xfId="0" applyFont="1" applyFill="1" applyBorder="1" applyAlignment="1">
      <alignment horizontal="center" vertical="center"/>
    </xf>
    <xf numFmtId="44" fontId="43" fillId="14" borderId="40" xfId="2" applyFont="1" applyFill="1" applyBorder="1" applyAlignment="1">
      <alignment horizontal="center" vertical="center"/>
    </xf>
    <xf numFmtId="44" fontId="43" fillId="14" borderId="43" xfId="2" applyFont="1" applyFill="1" applyBorder="1" applyAlignment="1">
      <alignment horizontal="center" vertical="center"/>
    </xf>
    <xf numFmtId="0" fontId="43" fillId="15" borderId="38" xfId="0" applyFont="1" applyFill="1" applyBorder="1" applyAlignment="1">
      <alignment horizontal="center" vertical="center"/>
    </xf>
    <xf numFmtId="0" fontId="43" fillId="15" borderId="39" xfId="0" applyFont="1" applyFill="1" applyBorder="1" applyAlignment="1">
      <alignment horizontal="center" vertical="center"/>
    </xf>
    <xf numFmtId="0" fontId="43" fillId="15" borderId="40" xfId="0" applyFont="1" applyFill="1" applyBorder="1" applyAlignment="1">
      <alignment horizontal="center" vertical="center"/>
    </xf>
    <xf numFmtId="0" fontId="43" fillId="15" borderId="41" xfId="0" applyFont="1" applyFill="1" applyBorder="1" applyAlignment="1">
      <alignment horizontal="center" vertical="center"/>
    </xf>
    <xf numFmtId="0" fontId="43" fillId="15" borderId="42" xfId="0" applyFont="1" applyFill="1" applyBorder="1" applyAlignment="1">
      <alignment horizontal="center" vertical="center"/>
    </xf>
    <xf numFmtId="0" fontId="43" fillId="15" borderId="43" xfId="0" applyFont="1" applyFill="1" applyBorder="1" applyAlignment="1">
      <alignment horizontal="center" vertical="center"/>
    </xf>
    <xf numFmtId="0" fontId="14" fillId="14" borderId="51" xfId="0" applyFont="1" applyFill="1" applyBorder="1" applyAlignment="1">
      <alignment horizontal="right" vertical="center"/>
    </xf>
    <xf numFmtId="0" fontId="14" fillId="14" borderId="52" xfId="0" applyFont="1" applyFill="1" applyBorder="1" applyAlignment="1">
      <alignment horizontal="right" vertical="center"/>
    </xf>
    <xf numFmtId="0" fontId="14" fillId="14" borderId="48" xfId="0" applyFont="1" applyFill="1" applyBorder="1" applyAlignment="1">
      <alignment horizontal="right" vertical="center"/>
    </xf>
    <xf numFmtId="0" fontId="14" fillId="14" borderId="49" xfId="0" applyFont="1" applyFill="1" applyBorder="1" applyAlignment="1">
      <alignment horizontal="right" vertical="center"/>
    </xf>
    <xf numFmtId="0" fontId="14" fillId="15" borderId="51" xfId="0" applyFont="1" applyFill="1" applyBorder="1" applyAlignment="1">
      <alignment horizontal="right" vertical="center"/>
    </xf>
    <xf numFmtId="0" fontId="14" fillId="15" borderId="52" xfId="0" applyFont="1" applyFill="1" applyBorder="1" applyAlignment="1">
      <alignment horizontal="right" vertical="center"/>
    </xf>
    <xf numFmtId="0" fontId="14" fillId="15" borderId="48" xfId="0" applyFont="1" applyFill="1" applyBorder="1" applyAlignment="1">
      <alignment horizontal="right" vertical="center"/>
    </xf>
    <xf numFmtId="0" fontId="14" fillId="15" borderId="49" xfId="0" applyFont="1" applyFill="1" applyBorder="1" applyAlignment="1">
      <alignment horizontal="right" vertical="center"/>
    </xf>
    <xf numFmtId="44" fontId="14" fillId="15" borderId="52" xfId="2" applyFont="1" applyFill="1" applyBorder="1" applyAlignment="1">
      <alignment horizontal="center" vertical="center"/>
    </xf>
    <xf numFmtId="44" fontId="14" fillId="15" borderId="49" xfId="2" applyFont="1" applyFill="1" applyBorder="1" applyAlignment="1">
      <alignment horizontal="center" vertical="center"/>
    </xf>
    <xf numFmtId="44" fontId="43" fillId="15" borderId="39" xfId="2" applyFont="1" applyFill="1" applyBorder="1" applyAlignment="1">
      <alignment horizontal="center" vertical="center"/>
    </xf>
    <xf numFmtId="44" fontId="43" fillId="15" borderId="40" xfId="2" applyFont="1" applyFill="1" applyBorder="1" applyAlignment="1">
      <alignment horizontal="center" vertical="center"/>
    </xf>
    <xf numFmtId="44" fontId="43" fillId="15" borderId="42" xfId="2" applyFont="1" applyFill="1" applyBorder="1" applyAlignment="1">
      <alignment horizontal="center" vertical="center"/>
    </xf>
    <xf numFmtId="44" fontId="43" fillId="15" borderId="43" xfId="2" applyFont="1" applyFill="1" applyBorder="1" applyAlignment="1">
      <alignment horizontal="center" vertical="center"/>
    </xf>
    <xf numFmtId="44" fontId="14" fillId="15" borderId="54" xfId="2" applyFont="1" applyFill="1" applyBorder="1" applyAlignment="1">
      <alignment horizontal="right" vertical="center"/>
    </xf>
    <xf numFmtId="44" fontId="14" fillId="15" borderId="58" xfId="2" applyFont="1" applyFill="1" applyBorder="1" applyAlignment="1">
      <alignment horizontal="right" vertical="center"/>
    </xf>
    <xf numFmtId="44" fontId="14" fillId="4" borderId="54" xfId="2" applyFont="1" applyFill="1" applyBorder="1" applyAlignment="1">
      <alignment horizontal="right" vertical="center"/>
    </xf>
    <xf numFmtId="44" fontId="14" fillId="4" borderId="58" xfId="2" applyFont="1" applyFill="1" applyBorder="1" applyAlignment="1">
      <alignment horizontal="right" vertical="center"/>
    </xf>
    <xf numFmtId="44" fontId="43" fillId="4" borderId="39" xfId="2" applyFont="1" applyFill="1" applyBorder="1" applyAlignment="1">
      <alignment horizontal="center" vertical="center"/>
    </xf>
    <xf numFmtId="44" fontId="43" fillId="4" borderId="59" xfId="2" applyFont="1" applyFill="1" applyBorder="1" applyAlignment="1">
      <alignment horizontal="center" vertical="center"/>
    </xf>
    <xf numFmtId="44" fontId="43" fillId="4" borderId="42" xfId="2" applyFont="1" applyFill="1" applyBorder="1" applyAlignment="1">
      <alignment horizontal="center" vertical="center"/>
    </xf>
    <xf numFmtId="44" fontId="43" fillId="4" borderId="60" xfId="2" applyFont="1" applyFill="1" applyBorder="1" applyAlignment="1">
      <alignment horizontal="center" vertical="center"/>
    </xf>
    <xf numFmtId="44" fontId="43" fillId="4" borderId="40" xfId="2" applyFont="1" applyFill="1" applyBorder="1" applyAlignment="1">
      <alignment horizontal="center" vertical="center"/>
    </xf>
    <xf numFmtId="44" fontId="43" fillId="4" borderId="43" xfId="2" applyFont="1" applyFill="1" applyBorder="1" applyAlignment="1">
      <alignment horizontal="center" vertical="center"/>
    </xf>
    <xf numFmtId="0" fontId="46" fillId="4" borderId="38" xfId="0" applyFont="1" applyFill="1" applyBorder="1" applyAlignment="1">
      <alignment horizontal="center" vertical="center"/>
    </xf>
    <xf numFmtId="0" fontId="46" fillId="4" borderId="39" xfId="0" applyFont="1" applyFill="1" applyBorder="1" applyAlignment="1">
      <alignment horizontal="center" vertical="center"/>
    </xf>
    <xf numFmtId="0" fontId="46" fillId="4" borderId="40" xfId="0" applyFont="1" applyFill="1" applyBorder="1" applyAlignment="1">
      <alignment horizontal="center" vertical="center"/>
    </xf>
    <xf numFmtId="0" fontId="46" fillId="4" borderId="41" xfId="0" applyFont="1" applyFill="1" applyBorder="1" applyAlignment="1">
      <alignment horizontal="center" vertical="center"/>
    </xf>
    <xf numFmtId="0" fontId="46" fillId="4" borderId="42" xfId="0" applyFont="1" applyFill="1" applyBorder="1" applyAlignment="1">
      <alignment horizontal="center" vertical="center"/>
    </xf>
    <xf numFmtId="0" fontId="46" fillId="4" borderId="43" xfId="0" applyFont="1" applyFill="1" applyBorder="1" applyAlignment="1">
      <alignment horizontal="center" vertical="center"/>
    </xf>
    <xf numFmtId="0" fontId="43" fillId="4" borderId="38" xfId="0" applyFont="1" applyFill="1" applyBorder="1" applyAlignment="1">
      <alignment horizontal="center" vertical="center"/>
    </xf>
    <xf numFmtId="0" fontId="43" fillId="4" borderId="39" xfId="0" applyFont="1" applyFill="1" applyBorder="1" applyAlignment="1">
      <alignment horizontal="center" vertical="center"/>
    </xf>
    <xf numFmtId="0" fontId="43" fillId="4" borderId="40" xfId="0" applyFont="1" applyFill="1" applyBorder="1" applyAlignment="1">
      <alignment horizontal="center" vertical="center"/>
    </xf>
    <xf numFmtId="0" fontId="43" fillId="4" borderId="41" xfId="0" applyFont="1" applyFill="1" applyBorder="1" applyAlignment="1">
      <alignment horizontal="center" vertical="center"/>
    </xf>
    <xf numFmtId="0" fontId="43" fillId="4" borderId="42" xfId="0" applyFont="1" applyFill="1" applyBorder="1" applyAlignment="1">
      <alignment horizontal="center" vertical="center"/>
    </xf>
    <xf numFmtId="0" fontId="43" fillId="4" borderId="43" xfId="0" applyFont="1" applyFill="1" applyBorder="1" applyAlignment="1">
      <alignment horizontal="center" vertical="center"/>
    </xf>
    <xf numFmtId="44" fontId="43" fillId="15" borderId="59" xfId="2" applyFont="1" applyFill="1" applyBorder="1" applyAlignment="1">
      <alignment horizontal="center" vertical="center"/>
    </xf>
    <xf numFmtId="44" fontId="43" fillId="15" borderId="60" xfId="2" applyFont="1" applyFill="1" applyBorder="1" applyAlignment="1">
      <alignment horizontal="center" vertical="center"/>
    </xf>
    <xf numFmtId="0" fontId="4" fillId="4" borderId="2" xfId="0" applyFont="1" applyFill="1" applyBorder="1" applyAlignment="1">
      <alignment horizontal="center" vertical="top"/>
    </xf>
    <xf numFmtId="0" fontId="4" fillId="4" borderId="3" xfId="0" applyFont="1" applyFill="1" applyBorder="1" applyAlignment="1">
      <alignment horizontal="center" vertical="top"/>
    </xf>
    <xf numFmtId="0" fontId="4" fillId="4" borderId="4" xfId="0" applyFont="1" applyFill="1" applyBorder="1" applyAlignment="1">
      <alignment horizontal="center" vertical="top"/>
    </xf>
    <xf numFmtId="0" fontId="4" fillId="6" borderId="1" xfId="0" applyFont="1" applyFill="1" applyBorder="1" applyAlignment="1">
      <alignment horizontal="center" vertical="center"/>
    </xf>
    <xf numFmtId="0" fontId="8" fillId="18" borderId="2" xfId="0" applyFont="1" applyFill="1" applyBorder="1" applyAlignment="1">
      <alignment horizontal="left"/>
    </xf>
    <xf numFmtId="0" fontId="8" fillId="18" borderId="3" xfId="0" applyFont="1" applyFill="1" applyBorder="1" applyAlignment="1">
      <alignment horizontal="left"/>
    </xf>
    <xf numFmtId="0" fontId="8" fillId="18" borderId="4" xfId="0" applyFont="1" applyFill="1" applyBorder="1" applyAlignment="1">
      <alignment horizontal="left"/>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4" fillId="0" borderId="4" xfId="0" applyFont="1" applyBorder="1" applyAlignment="1">
      <alignment horizontal="right" vertical="top" wrapText="1"/>
    </xf>
    <xf numFmtId="0" fontId="4" fillId="4" borderId="1" xfId="0" applyFont="1" applyFill="1" applyBorder="1" applyAlignment="1">
      <alignment horizontal="center" vertical="center"/>
    </xf>
    <xf numFmtId="44" fontId="4" fillId="9" borderId="2" xfId="2" applyFont="1" applyFill="1" applyBorder="1" applyAlignment="1">
      <alignment horizontal="center" vertical="top"/>
    </xf>
    <xf numFmtId="44" fontId="4" fillId="9" borderId="3" xfId="2" applyFont="1" applyFill="1" applyBorder="1" applyAlignment="1">
      <alignment horizontal="center" vertical="top"/>
    </xf>
    <xf numFmtId="44" fontId="4" fillId="9" borderId="4" xfId="2" applyFont="1" applyFill="1" applyBorder="1" applyAlignment="1">
      <alignment horizontal="center" vertical="top"/>
    </xf>
    <xf numFmtId="0" fontId="4" fillId="5" borderId="1" xfId="0" applyFont="1" applyFill="1" applyBorder="1" applyAlignment="1">
      <alignment horizontal="center" vertical="center"/>
    </xf>
    <xf numFmtId="44" fontId="4" fillId="5" borderId="2" xfId="2" applyFont="1" applyFill="1" applyBorder="1" applyAlignment="1">
      <alignment horizontal="center" vertical="top"/>
    </xf>
    <xf numFmtId="44" fontId="4" fillId="5" borderId="3" xfId="2" applyFont="1" applyFill="1" applyBorder="1" applyAlignment="1">
      <alignment horizontal="center" vertical="top"/>
    </xf>
    <xf numFmtId="44" fontId="4" fillId="5" borderId="4" xfId="2" applyFont="1" applyFill="1" applyBorder="1" applyAlignment="1">
      <alignment horizontal="center" vertical="top"/>
    </xf>
    <xf numFmtId="0" fontId="4" fillId="2" borderId="1" xfId="0" applyFont="1" applyFill="1" applyBorder="1" applyAlignment="1">
      <alignment horizontal="center" vertical="center"/>
    </xf>
    <xf numFmtId="44" fontId="4" fillId="2" borderId="2" xfId="2" applyFont="1" applyFill="1" applyBorder="1" applyAlignment="1">
      <alignment horizontal="center" vertical="top"/>
    </xf>
    <xf numFmtId="44" fontId="4" fillId="2" borderId="3" xfId="2" applyFont="1" applyFill="1" applyBorder="1" applyAlignment="1">
      <alignment horizontal="center" vertical="top"/>
    </xf>
    <xf numFmtId="44" fontId="4" fillId="2" borderId="4" xfId="2" applyFont="1" applyFill="1" applyBorder="1" applyAlignment="1">
      <alignment horizontal="center" vertical="top"/>
    </xf>
    <xf numFmtId="0" fontId="7" fillId="19" borderId="22" xfId="0" applyFont="1" applyFill="1" applyBorder="1" applyAlignment="1">
      <alignment horizontal="center" vertical="center"/>
    </xf>
    <xf numFmtId="0" fontId="7" fillId="19" borderId="23" xfId="0" applyFont="1" applyFill="1" applyBorder="1" applyAlignment="1">
      <alignment horizontal="center" vertical="center"/>
    </xf>
    <xf numFmtId="0" fontId="7" fillId="19" borderId="29" xfId="0" applyFont="1" applyFill="1" applyBorder="1" applyAlignment="1">
      <alignment horizontal="center" vertical="center"/>
    </xf>
    <xf numFmtId="0" fontId="7" fillId="19" borderId="26" xfId="0" applyFont="1" applyFill="1" applyBorder="1" applyAlignment="1">
      <alignment horizontal="center" vertical="center"/>
    </xf>
    <xf numFmtId="0" fontId="7" fillId="19" borderId="19" xfId="0" applyFont="1" applyFill="1" applyBorder="1" applyAlignment="1">
      <alignment horizontal="center" vertical="center"/>
    </xf>
    <xf numFmtId="0" fontId="7" fillId="19" borderId="24" xfId="0" applyFont="1" applyFill="1" applyBorder="1" applyAlignment="1">
      <alignment horizontal="center" vertical="center"/>
    </xf>
    <xf numFmtId="0" fontId="7" fillId="19" borderId="2" xfId="0" applyFont="1" applyFill="1" applyBorder="1" applyAlignment="1">
      <alignment horizontal="center" vertical="top" wrapText="1"/>
    </xf>
    <xf numFmtId="0" fontId="7" fillId="19" borderId="4" xfId="0" applyFont="1" applyFill="1" applyBorder="1" applyAlignment="1">
      <alignment horizontal="center" vertical="top" wrapText="1"/>
    </xf>
    <xf numFmtId="0" fontId="6" fillId="10" borderId="1" xfId="0" applyFont="1" applyFill="1" applyBorder="1" applyAlignment="1">
      <alignment horizontal="center" vertical="top" wrapText="1"/>
    </xf>
    <xf numFmtId="0" fontId="4" fillId="9" borderId="1" xfId="0" applyFont="1" applyFill="1" applyBorder="1" applyAlignment="1">
      <alignment horizontal="center" vertical="center"/>
    </xf>
    <xf numFmtId="0" fontId="4" fillId="0" borderId="1" xfId="0" applyFont="1" applyBorder="1" applyAlignment="1">
      <alignment horizontal="center" vertical="center" wrapText="1"/>
    </xf>
    <xf numFmtId="44" fontId="4" fillId="11" borderId="2" xfId="2" applyFont="1" applyFill="1" applyBorder="1" applyAlignment="1">
      <alignment horizontal="center" vertical="top"/>
    </xf>
    <xf numFmtId="44" fontId="4" fillId="11" borderId="3" xfId="2" applyFont="1" applyFill="1" applyBorder="1" applyAlignment="1">
      <alignment horizontal="center" vertical="top"/>
    </xf>
    <xf numFmtId="44" fontId="4" fillId="11" borderId="4" xfId="2" applyFont="1" applyFill="1" applyBorder="1" applyAlignment="1">
      <alignment horizontal="center" vertical="top"/>
    </xf>
    <xf numFmtId="44" fontId="4" fillId="6" borderId="2" xfId="2" applyFont="1" applyFill="1" applyBorder="1" applyAlignment="1">
      <alignment horizontal="center" vertical="top"/>
    </xf>
    <xf numFmtId="44" fontId="4" fillId="6" borderId="3" xfId="2" applyFont="1" applyFill="1" applyBorder="1" applyAlignment="1">
      <alignment horizontal="center" vertical="top"/>
    </xf>
    <xf numFmtId="44" fontId="4" fillId="6" borderId="4" xfId="2" applyFont="1" applyFill="1" applyBorder="1" applyAlignment="1">
      <alignment horizontal="center" vertical="top"/>
    </xf>
    <xf numFmtId="0" fontId="4" fillId="8" borderId="1" xfId="0" applyFont="1" applyFill="1" applyBorder="1" applyAlignment="1">
      <alignment horizontal="center" vertical="center"/>
    </xf>
    <xf numFmtId="44" fontId="4" fillId="8" borderId="2" xfId="2" applyFont="1" applyFill="1" applyBorder="1" applyAlignment="1">
      <alignment horizontal="center" vertical="top"/>
    </xf>
    <xf numFmtId="44" fontId="4" fillId="8" borderId="3" xfId="2" applyFont="1" applyFill="1" applyBorder="1" applyAlignment="1">
      <alignment horizontal="center" vertical="top"/>
    </xf>
    <xf numFmtId="44" fontId="4" fillId="8" borderId="4" xfId="2" applyFont="1" applyFill="1" applyBorder="1" applyAlignment="1">
      <alignment horizontal="center" vertical="top"/>
    </xf>
    <xf numFmtId="0" fontId="4" fillId="7" borderId="1" xfId="0" applyFont="1" applyFill="1" applyBorder="1" applyAlignment="1">
      <alignment horizontal="center" vertical="center"/>
    </xf>
    <xf numFmtId="44" fontId="4" fillId="7" borderId="2" xfId="2" applyFont="1" applyFill="1" applyBorder="1" applyAlignment="1">
      <alignment horizontal="center" vertical="top"/>
    </xf>
    <xf numFmtId="44" fontId="4" fillId="7" borderId="3" xfId="2" applyFont="1" applyFill="1" applyBorder="1" applyAlignment="1">
      <alignment horizontal="center" vertical="top"/>
    </xf>
    <xf numFmtId="44" fontId="4" fillId="7" borderId="4" xfId="2" applyFont="1" applyFill="1" applyBorder="1" applyAlignment="1">
      <alignment horizontal="center" vertical="top"/>
    </xf>
    <xf numFmtId="0" fontId="4" fillId="11" borderId="1" xfId="0" applyFont="1" applyFill="1" applyBorder="1" applyAlignment="1">
      <alignment horizontal="center" vertical="center"/>
    </xf>
    <xf numFmtId="0" fontId="4" fillId="19" borderId="2" xfId="0" applyFont="1" applyFill="1" applyBorder="1" applyAlignment="1">
      <alignment horizontal="left" vertical="center"/>
    </xf>
    <xf numFmtId="0" fontId="4" fillId="19" borderId="3" xfId="0" applyFont="1" applyFill="1" applyBorder="1" applyAlignment="1">
      <alignment horizontal="left" vertical="center"/>
    </xf>
    <xf numFmtId="0" fontId="4" fillId="19" borderId="4" xfId="0" applyFont="1" applyFill="1" applyBorder="1" applyAlignment="1">
      <alignment horizontal="left" vertical="center"/>
    </xf>
    <xf numFmtId="0" fontId="8" fillId="19" borderId="2" xfId="0" applyFont="1" applyFill="1" applyBorder="1" applyAlignment="1">
      <alignment horizontal="left" vertical="center"/>
    </xf>
    <xf numFmtId="0" fontId="8" fillId="19" borderId="3" xfId="0" applyFont="1" applyFill="1" applyBorder="1" applyAlignment="1">
      <alignment horizontal="left" vertical="center"/>
    </xf>
    <xf numFmtId="0" fontId="8" fillId="19" borderId="4" xfId="0" applyFont="1" applyFill="1" applyBorder="1" applyAlignment="1">
      <alignment horizontal="left"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8" fillId="18" borderId="2" xfId="0" applyFont="1" applyFill="1" applyBorder="1" applyAlignment="1">
      <alignment horizontal="left" vertical="center"/>
    </xf>
    <xf numFmtId="0" fontId="8" fillId="18" borderId="3" xfId="0" applyFont="1" applyFill="1" applyBorder="1" applyAlignment="1">
      <alignment horizontal="left" vertical="center"/>
    </xf>
    <xf numFmtId="0" fontId="8" fillId="18" borderId="4" xfId="0" applyFont="1" applyFill="1" applyBorder="1" applyAlignment="1">
      <alignment horizontal="left" vertical="center"/>
    </xf>
    <xf numFmtId="0" fontId="7" fillId="18" borderId="22" xfId="0" applyFont="1" applyFill="1" applyBorder="1" applyAlignment="1">
      <alignment horizontal="center" vertical="center"/>
    </xf>
    <xf numFmtId="0" fontId="7" fillId="18" borderId="23" xfId="0" applyFont="1" applyFill="1" applyBorder="1" applyAlignment="1">
      <alignment horizontal="center" vertical="center"/>
    </xf>
    <xf numFmtId="0" fontId="7" fillId="18" borderId="29" xfId="0" applyFont="1" applyFill="1" applyBorder="1" applyAlignment="1">
      <alignment horizontal="center" vertical="center"/>
    </xf>
    <xf numFmtId="0" fontId="7" fillId="18" borderId="26" xfId="0" applyFont="1" applyFill="1" applyBorder="1" applyAlignment="1">
      <alignment horizontal="center" vertical="center"/>
    </xf>
    <xf numFmtId="0" fontId="7" fillId="18" borderId="19" xfId="0" applyFont="1" applyFill="1" applyBorder="1" applyAlignment="1">
      <alignment horizontal="center" vertical="center"/>
    </xf>
    <xf numFmtId="0" fontId="7" fillId="18" borderId="24" xfId="0" applyFont="1" applyFill="1" applyBorder="1" applyAlignment="1">
      <alignment horizontal="center" vertical="center"/>
    </xf>
    <xf numFmtId="0" fontId="7" fillId="18" borderId="2" xfId="0" applyFont="1" applyFill="1" applyBorder="1" applyAlignment="1">
      <alignment horizontal="center" vertical="top" wrapText="1"/>
    </xf>
    <xf numFmtId="0" fontId="7" fillId="18" borderId="4" xfId="0" applyFont="1" applyFill="1" applyBorder="1" applyAlignment="1">
      <alignment horizontal="center" vertical="top" wrapText="1"/>
    </xf>
    <xf numFmtId="0" fontId="7" fillId="19" borderId="2"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7" fillId="5" borderId="22"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 xfId="0" applyFont="1" applyFill="1" applyBorder="1" applyAlignment="1">
      <alignment horizontal="center" vertical="top" wrapText="1"/>
    </xf>
    <xf numFmtId="0" fontId="7" fillId="5" borderId="4" xfId="0" applyFont="1" applyFill="1" applyBorder="1" applyAlignment="1">
      <alignment horizontal="center" vertical="top"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7" fillId="18" borderId="2" xfId="0" applyFont="1" applyFill="1" applyBorder="1" applyAlignment="1">
      <alignment horizontal="center" vertical="top"/>
    </xf>
    <xf numFmtId="0" fontId="7" fillId="18" borderId="4" xfId="0" applyFont="1" applyFill="1" applyBorder="1" applyAlignment="1">
      <alignment horizontal="center" vertical="top"/>
    </xf>
    <xf numFmtId="44" fontId="4" fillId="0" borderId="84" xfId="0" applyNumberFormat="1" applyFont="1" applyFill="1" applyBorder="1" applyAlignment="1">
      <alignment horizontal="center" vertical="center"/>
    </xf>
    <xf numFmtId="44" fontId="4" fillId="0" borderId="86" xfId="0" applyNumberFormat="1" applyFont="1" applyFill="1" applyBorder="1" applyAlignment="1">
      <alignment horizontal="center" vertical="center"/>
    </xf>
    <xf numFmtId="44" fontId="4" fillId="0" borderId="94" xfId="0" applyNumberFormat="1" applyFont="1" applyFill="1" applyBorder="1" applyAlignment="1">
      <alignment horizontal="center" vertical="center"/>
    </xf>
    <xf numFmtId="44" fontId="4" fillId="0" borderId="96" xfId="0" applyNumberFormat="1" applyFont="1" applyBorder="1" applyAlignment="1">
      <alignment horizontal="center" vertical="center"/>
    </xf>
    <xf numFmtId="44" fontId="4" fillId="0" borderId="86" xfId="0" applyNumberFormat="1" applyFont="1" applyBorder="1" applyAlignment="1">
      <alignment horizontal="center" vertical="center"/>
    </xf>
    <xf numFmtId="44" fontId="4" fillId="0" borderId="89" xfId="0" applyNumberFormat="1" applyFont="1" applyBorder="1" applyAlignment="1">
      <alignment horizontal="center" vertical="center"/>
    </xf>
    <xf numFmtId="44" fontId="4" fillId="0" borderId="84" xfId="0" applyNumberFormat="1" applyFont="1" applyBorder="1" applyAlignment="1">
      <alignment horizontal="center" vertical="center"/>
    </xf>
    <xf numFmtId="44" fontId="4" fillId="0" borderId="89" xfId="0" applyNumberFormat="1" applyFont="1" applyFill="1" applyBorder="1" applyAlignment="1">
      <alignment horizontal="center" vertical="center"/>
    </xf>
    <xf numFmtId="44" fontId="4" fillId="0" borderId="96" xfId="0" applyNumberFormat="1" applyFont="1" applyFill="1" applyBorder="1" applyAlignment="1">
      <alignment horizontal="center" vertical="center"/>
    </xf>
    <xf numFmtId="44" fontId="4" fillId="0" borderId="94" xfId="0" applyNumberFormat="1" applyFont="1" applyBorder="1" applyAlignment="1">
      <alignment horizontal="center" vertical="center"/>
    </xf>
    <xf numFmtId="44" fontId="4" fillId="0" borderId="84" xfId="0" applyNumberFormat="1" applyFont="1" applyBorder="1" applyAlignment="1">
      <alignment vertical="center"/>
    </xf>
    <xf numFmtId="44" fontId="4" fillId="0" borderId="86" xfId="0" applyNumberFormat="1" applyFont="1" applyBorder="1" applyAlignment="1">
      <alignment vertical="center"/>
    </xf>
    <xf numFmtId="44" fontId="4" fillId="0" borderId="89" xfId="0" applyNumberFormat="1" applyFont="1" applyBorder="1" applyAlignment="1">
      <alignment vertical="center"/>
    </xf>
    <xf numFmtId="44" fontId="4" fillId="0" borderId="94" xfId="0" applyNumberFormat="1" applyFont="1" applyBorder="1" applyAlignment="1">
      <alignment vertical="center"/>
    </xf>
    <xf numFmtId="44" fontId="4" fillId="0" borderId="96" xfId="0" applyNumberFormat="1" applyFont="1" applyBorder="1" applyAlignment="1">
      <alignment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5"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8" fillId="20" borderId="91" xfId="0" applyFont="1" applyFill="1" applyBorder="1" applyAlignment="1">
      <alignment horizontal="left" vertical="center"/>
    </xf>
    <xf numFmtId="0" fontId="8" fillId="20" borderId="101" xfId="0" applyFont="1" applyFill="1" applyBorder="1" applyAlignment="1">
      <alignment horizontal="left" vertical="center"/>
    </xf>
    <xf numFmtId="0" fontId="8" fillId="2" borderId="101" xfId="0" applyFont="1" applyFill="1" applyBorder="1" applyAlignment="1">
      <alignment horizontal="left" vertical="center"/>
    </xf>
    <xf numFmtId="0" fontId="5" fillId="0" borderId="95" xfId="0" applyFont="1" applyBorder="1" applyAlignment="1">
      <alignment horizontal="center" vertical="center"/>
    </xf>
    <xf numFmtId="0" fontId="5" fillId="0" borderId="81" xfId="0" applyFont="1" applyBorder="1" applyAlignment="1">
      <alignment horizontal="center" vertical="center"/>
    </xf>
    <xf numFmtId="0" fontId="5" fillId="0" borderId="93" xfId="0" applyFont="1" applyBorder="1" applyAlignment="1">
      <alignment horizontal="center" vertical="center"/>
    </xf>
    <xf numFmtId="0" fontId="8" fillId="18" borderId="91" xfId="0" applyFont="1" applyFill="1" applyBorder="1" applyAlignment="1">
      <alignment horizontal="left" vertical="center"/>
    </xf>
    <xf numFmtId="0" fontId="8" fillId="18" borderId="101" xfId="0" applyFont="1" applyFill="1" applyBorder="1" applyAlignment="1">
      <alignment horizontal="left" vertical="center"/>
    </xf>
    <xf numFmtId="0" fontId="10" fillId="18" borderId="90" xfId="0" applyFont="1" applyFill="1" applyBorder="1" applyAlignment="1"/>
    <xf numFmtId="0" fontId="10" fillId="18" borderId="91" xfId="0" applyFont="1" applyFill="1" applyBorder="1" applyAlignment="1"/>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88" xfId="0" applyFont="1" applyFill="1" applyBorder="1" applyAlignment="1">
      <alignment horizontal="center" vertical="center"/>
    </xf>
    <xf numFmtId="0" fontId="5" fillId="0" borderId="93" xfId="0" applyFont="1" applyFill="1" applyBorder="1" applyAlignment="1">
      <alignment horizontal="center" vertical="center"/>
    </xf>
    <xf numFmtId="0" fontId="5" fillId="0" borderId="80" xfId="0" applyFont="1" applyFill="1" applyBorder="1" applyAlignment="1">
      <alignment horizontal="center" vertical="center"/>
    </xf>
    <xf numFmtId="44" fontId="5" fillId="0" borderId="81" xfId="0" applyNumberFormat="1" applyFont="1" applyBorder="1" applyAlignment="1">
      <alignment horizontal="center" vertical="center"/>
    </xf>
    <xf numFmtId="44" fontId="5" fillId="0" borderId="83" xfId="0" applyNumberFormat="1" applyFont="1" applyFill="1" applyBorder="1" applyAlignment="1">
      <alignment horizontal="center" vertical="center"/>
    </xf>
    <xf numFmtId="0" fontId="4" fillId="0" borderId="64" xfId="0" applyFont="1" applyBorder="1" applyAlignment="1">
      <alignment horizontal="right" vertical="top" wrapText="1"/>
    </xf>
    <xf numFmtId="0" fontId="4" fillId="0" borderId="0" xfId="0" applyFont="1" applyBorder="1" applyAlignment="1">
      <alignment horizontal="center" vertical="center" wrapText="1"/>
    </xf>
    <xf numFmtId="0" fontId="47" fillId="9" borderId="64" xfId="0" applyFont="1" applyFill="1" applyBorder="1" applyAlignment="1">
      <alignment horizontal="center" vertical="center"/>
    </xf>
    <xf numFmtId="44" fontId="12" fillId="0" borderId="81" xfId="0" applyNumberFormat="1" applyFont="1" applyFill="1" applyBorder="1" applyAlignment="1">
      <alignment horizontal="center" vertical="center"/>
    </xf>
    <xf numFmtId="0" fontId="12" fillId="0" borderId="79" xfId="0" applyFont="1" applyFill="1" applyBorder="1" applyAlignment="1">
      <alignment horizontal="center" vertical="center"/>
    </xf>
    <xf numFmtId="44" fontId="5" fillId="0" borderId="79" xfId="0" applyNumberFormat="1" applyFont="1" applyFill="1" applyBorder="1" applyAlignment="1">
      <alignment horizontal="center" vertical="center"/>
    </xf>
    <xf numFmtId="44" fontId="5" fillId="0" borderId="79" xfId="0" applyNumberFormat="1" applyFont="1" applyBorder="1" applyAlignment="1">
      <alignment horizontal="center" vertical="center"/>
    </xf>
    <xf numFmtId="44" fontId="5" fillId="0" borderId="83" xfId="0" applyNumberFormat="1" applyFont="1" applyBorder="1" applyAlignment="1">
      <alignment horizontal="center" vertical="center"/>
    </xf>
    <xf numFmtId="44" fontId="5" fillId="0" borderId="80" xfId="0" applyNumberFormat="1" applyFont="1" applyFill="1" applyBorder="1" applyAlignment="1">
      <alignment horizontal="center" vertical="center"/>
    </xf>
    <xf numFmtId="44" fontId="5" fillId="0" borderId="88" xfId="0" applyNumberFormat="1" applyFont="1" applyFill="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5" fillId="0" borderId="95" xfId="0" applyFont="1" applyFill="1" applyBorder="1" applyAlignment="1">
      <alignment horizontal="center" vertical="center"/>
    </xf>
    <xf numFmtId="0" fontId="5" fillId="0" borderId="81" xfId="0" applyFont="1" applyFill="1" applyBorder="1" applyAlignment="1">
      <alignment horizontal="center" vertical="center"/>
    </xf>
    <xf numFmtId="0" fontId="8" fillId="2" borderId="0" xfId="0" applyFont="1" applyFill="1" applyBorder="1" applyAlignment="1">
      <alignment horizontal="left" vertical="center"/>
    </xf>
    <xf numFmtId="0" fontId="4" fillId="0" borderId="86" xfId="0" applyFont="1" applyBorder="1" applyAlignment="1">
      <alignment horizontal="center" vertical="center"/>
    </xf>
    <xf numFmtId="0" fontId="4" fillId="0" borderId="89" xfId="0" applyFont="1" applyBorder="1" applyAlignment="1">
      <alignment horizontal="center" vertical="center"/>
    </xf>
    <xf numFmtId="0" fontId="4" fillId="0" borderId="86"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94" xfId="0" applyFont="1" applyFill="1" applyBorder="1" applyAlignment="1">
      <alignment horizontal="center" vertical="center"/>
    </xf>
    <xf numFmtId="44" fontId="4" fillId="0" borderId="84" xfId="0" applyNumberFormat="1" applyFont="1" applyFill="1" applyBorder="1" applyAlignment="1">
      <alignment vertical="center"/>
    </xf>
    <xf numFmtId="0" fontId="4" fillId="0" borderId="86" xfId="0" applyFont="1" applyFill="1" applyBorder="1" applyAlignment="1">
      <alignment vertical="center"/>
    </xf>
    <xf numFmtId="0" fontId="4" fillId="0" borderId="89" xfId="0" applyFont="1" applyFill="1" applyBorder="1" applyAlignment="1">
      <alignment vertical="center"/>
    </xf>
    <xf numFmtId="0" fontId="8" fillId="2" borderId="91" xfId="0" applyFont="1" applyFill="1" applyBorder="1" applyAlignment="1">
      <alignment horizontal="left" vertical="center"/>
    </xf>
    <xf numFmtId="0" fontId="47" fillId="5" borderId="64"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98" xfId="0" applyFont="1" applyFill="1" applyBorder="1" applyAlignment="1">
      <alignment horizontal="center" vertical="center"/>
    </xf>
    <xf numFmtId="0" fontId="8" fillId="20" borderId="107" xfId="0" applyFont="1" applyFill="1" applyBorder="1" applyAlignment="1">
      <alignment horizontal="left" vertical="center"/>
    </xf>
    <xf numFmtId="0" fontId="8" fillId="18" borderId="90" xfId="0" applyFont="1" applyFill="1" applyBorder="1" applyAlignment="1">
      <alignment horizontal="left"/>
    </xf>
    <xf numFmtId="0" fontId="8" fillId="18" borderId="91" xfId="0" applyFont="1" applyFill="1" applyBorder="1" applyAlignment="1">
      <alignment horizontal="left"/>
    </xf>
    <xf numFmtId="44" fontId="5" fillId="0" borderId="83" xfId="2" applyFont="1" applyFill="1" applyBorder="1" applyAlignment="1">
      <alignment horizontal="center" vertical="center"/>
    </xf>
    <xf numFmtId="44" fontId="5" fillId="0" borderId="79" xfId="2" applyFont="1" applyFill="1" applyBorder="1" applyAlignment="1">
      <alignment horizontal="center" vertical="center"/>
    </xf>
    <xf numFmtId="44" fontId="5" fillId="0" borderId="83" xfId="2" applyFont="1" applyBorder="1" applyAlignment="1">
      <alignment horizontal="center" vertical="center"/>
    </xf>
    <xf numFmtId="44" fontId="5" fillId="0" borderId="79" xfId="2" applyFont="1" applyBorder="1" applyAlignment="1">
      <alignment horizontal="center" vertical="center"/>
    </xf>
    <xf numFmtId="0" fontId="8" fillId="20" borderId="111" xfId="0" applyFont="1" applyFill="1" applyBorder="1" applyAlignment="1">
      <alignment horizontal="left" vertical="center"/>
    </xf>
    <xf numFmtId="0" fontId="8" fillId="20" borderId="102" xfId="0" applyFont="1" applyFill="1" applyBorder="1" applyAlignment="1">
      <alignment horizontal="left" vertical="center"/>
    </xf>
    <xf numFmtId="44" fontId="5" fillId="0" borderId="88" xfId="2" applyFont="1" applyFill="1" applyBorder="1" applyAlignment="1">
      <alignment horizontal="center" vertical="center"/>
    </xf>
    <xf numFmtId="44" fontId="12" fillId="0" borderId="83" xfId="0" applyNumberFormat="1" applyFont="1" applyFill="1" applyBorder="1" applyAlignment="1">
      <alignment horizontal="center" vertical="center"/>
    </xf>
    <xf numFmtId="44" fontId="4" fillId="0" borderId="84" xfId="2" applyFont="1" applyBorder="1" applyAlignment="1">
      <alignment horizontal="center" vertical="center"/>
    </xf>
    <xf numFmtId="44" fontId="4" fillId="0" borderId="86" xfId="2" applyFont="1" applyBorder="1" applyAlignment="1">
      <alignment horizontal="center" vertical="center"/>
    </xf>
    <xf numFmtId="44" fontId="4" fillId="0" borderId="89" xfId="2" applyFont="1" applyBorder="1" applyAlignment="1">
      <alignment horizontal="center" vertical="center"/>
    </xf>
    <xf numFmtId="44" fontId="4" fillId="0" borderId="94" xfId="2" applyFont="1" applyBorder="1" applyAlignment="1">
      <alignment horizontal="center" vertical="center"/>
    </xf>
    <xf numFmtId="44" fontId="4" fillId="0" borderId="84" xfId="2" applyFont="1" applyBorder="1" applyAlignment="1">
      <alignment vertical="center"/>
    </xf>
    <xf numFmtId="44" fontId="4" fillId="0" borderId="86" xfId="2" applyFont="1" applyBorder="1" applyAlignment="1">
      <alignment vertical="center"/>
    </xf>
    <xf numFmtId="44" fontId="4" fillId="0" borderId="89" xfId="2" applyFont="1" applyBorder="1" applyAlignment="1">
      <alignment vertical="center"/>
    </xf>
    <xf numFmtId="44" fontId="5" fillId="0" borderId="88" xfId="2"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4" fillId="0" borderId="64" xfId="0" applyFont="1" applyBorder="1" applyAlignment="1">
      <alignment horizontal="center" vertical="center" wrapText="1"/>
    </xf>
    <xf numFmtId="0" fontId="47" fillId="2" borderId="64" xfId="0" applyFont="1" applyFill="1" applyBorder="1" applyAlignment="1">
      <alignment horizontal="center" vertical="center"/>
    </xf>
    <xf numFmtId="44" fontId="4" fillId="0" borderId="84" xfId="2" applyFont="1" applyFill="1" applyBorder="1" applyAlignment="1">
      <alignment horizontal="center" vertical="center"/>
    </xf>
    <xf numFmtId="44" fontId="4" fillId="0" borderId="86" xfId="2" applyFont="1" applyFill="1" applyBorder="1" applyAlignment="1">
      <alignment horizontal="center" vertical="center"/>
    </xf>
    <xf numFmtId="44" fontId="4" fillId="0" borderId="89" xfId="2" applyFont="1" applyFill="1" applyBorder="1" applyAlignment="1">
      <alignment horizontal="center" vertical="center"/>
    </xf>
    <xf numFmtId="44" fontId="4" fillId="0" borderId="84" xfId="2" applyFont="1" applyFill="1" applyBorder="1" applyAlignment="1">
      <alignment vertical="center"/>
    </xf>
    <xf numFmtId="44" fontId="4" fillId="0" borderId="86" xfId="2" applyFont="1" applyFill="1" applyBorder="1" applyAlignment="1">
      <alignment vertical="center"/>
    </xf>
    <xf numFmtId="44" fontId="4" fillId="0" borderId="89" xfId="2" applyFont="1" applyFill="1" applyBorder="1" applyAlignment="1">
      <alignment vertical="center"/>
    </xf>
    <xf numFmtId="0" fontId="4" fillId="0" borderId="65" xfId="0" applyFont="1" applyBorder="1" applyAlignment="1">
      <alignment horizontal="center" vertical="center" wrapText="1"/>
    </xf>
    <xf numFmtId="0" fontId="47" fillId="8" borderId="65" xfId="0" applyFont="1" applyFill="1" applyBorder="1" applyAlignment="1">
      <alignment horizontal="center" vertical="center"/>
    </xf>
    <xf numFmtId="0" fontId="4" fillId="0" borderId="65" xfId="0" applyFont="1" applyBorder="1" applyAlignment="1">
      <alignment horizontal="right" vertical="top" wrapText="1"/>
    </xf>
    <xf numFmtId="0" fontId="5" fillId="0" borderId="83" xfId="0" applyFont="1" applyFill="1" applyBorder="1" applyAlignment="1">
      <alignment horizontal="left" vertical="center"/>
    </xf>
    <xf numFmtId="0" fontId="5" fillId="0" borderId="79" xfId="0" applyFont="1" applyFill="1" applyBorder="1" applyAlignment="1">
      <alignment horizontal="left" vertical="center"/>
    </xf>
    <xf numFmtId="0" fontId="5" fillId="0" borderId="83" xfId="0" applyFont="1" applyBorder="1" applyAlignment="1">
      <alignment horizontal="left" vertical="center"/>
    </xf>
    <xf numFmtId="0" fontId="5" fillId="0" borderId="79" xfId="0" applyFont="1" applyBorder="1" applyAlignment="1">
      <alignment horizontal="left" vertical="center"/>
    </xf>
    <xf numFmtId="0" fontId="5" fillId="0" borderId="88" xfId="0" applyFont="1" applyBorder="1" applyAlignment="1">
      <alignment horizontal="left" vertical="center"/>
    </xf>
    <xf numFmtId="0" fontId="8" fillId="20" borderId="104" xfId="0" applyFont="1" applyFill="1" applyBorder="1" applyAlignment="1">
      <alignment horizontal="left" vertical="center"/>
    </xf>
    <xf numFmtId="0" fontId="8" fillId="18" borderId="0" xfId="0" applyFont="1" applyFill="1" applyBorder="1" applyAlignment="1">
      <alignment horizontal="left" vertical="center"/>
    </xf>
    <xf numFmtId="44" fontId="4" fillId="0" borderId="96" xfId="2" applyFont="1" applyBorder="1" applyAlignment="1">
      <alignment horizontal="center" vertical="center"/>
    </xf>
    <xf numFmtId="0" fontId="47" fillId="6" borderId="65" xfId="0" applyFont="1" applyFill="1" applyBorder="1" applyAlignment="1">
      <alignment horizontal="center" vertical="center"/>
    </xf>
    <xf numFmtId="44" fontId="5" fillId="0" borderId="80" xfId="2" applyFont="1" applyFill="1" applyBorder="1" applyAlignment="1">
      <alignment horizontal="center" vertical="center"/>
    </xf>
    <xf numFmtId="0" fontId="5" fillId="0" borderId="80" xfId="0" applyFont="1" applyBorder="1" applyAlignment="1">
      <alignment horizontal="left" vertical="center"/>
    </xf>
    <xf numFmtId="0" fontId="4" fillId="0" borderId="66" xfId="0" applyFont="1" applyBorder="1" applyAlignment="1">
      <alignment horizontal="right" vertical="top" wrapText="1"/>
    </xf>
    <xf numFmtId="0" fontId="4" fillId="0" borderId="66" xfId="0" applyFont="1" applyBorder="1" applyAlignment="1">
      <alignment horizontal="center" vertical="center" wrapText="1"/>
    </xf>
    <xf numFmtId="0" fontId="47" fillId="14" borderId="66" xfId="0" applyFont="1" applyFill="1" applyBorder="1" applyAlignment="1">
      <alignment horizontal="center" vertical="center"/>
    </xf>
    <xf numFmtId="44" fontId="10" fillId="0" borderId="84" xfId="2" applyFont="1" applyBorder="1" applyAlignment="1">
      <alignment horizontal="center" vertical="center"/>
    </xf>
    <xf numFmtId="44" fontId="10" fillId="0" borderId="86" xfId="2" applyFont="1" applyBorder="1" applyAlignment="1">
      <alignment horizontal="center" vertical="center"/>
    </xf>
    <xf numFmtId="44" fontId="10" fillId="0" borderId="89" xfId="2" applyFont="1" applyBorder="1" applyAlignment="1">
      <alignment horizontal="center" vertical="center"/>
    </xf>
    <xf numFmtId="44" fontId="10" fillId="0" borderId="94" xfId="2" applyFont="1" applyBorder="1" applyAlignment="1">
      <alignment horizontal="center" vertical="center"/>
    </xf>
    <xf numFmtId="44" fontId="10" fillId="0" borderId="84" xfId="2" applyFont="1" applyBorder="1" applyAlignment="1">
      <alignment vertical="center"/>
    </xf>
    <xf numFmtId="44" fontId="10" fillId="0" borderId="86" xfId="2" applyFont="1" applyBorder="1" applyAlignment="1">
      <alignment vertical="center"/>
    </xf>
    <xf numFmtId="44" fontId="10" fillId="0" borderId="89" xfId="2" applyFont="1" applyBorder="1" applyAlignment="1">
      <alignment vertical="center"/>
    </xf>
    <xf numFmtId="0" fontId="47" fillId="15" borderId="66" xfId="0" applyFont="1" applyFill="1" applyBorder="1" applyAlignment="1">
      <alignment horizontal="center" vertical="center"/>
    </xf>
    <xf numFmtId="0" fontId="5" fillId="0" borderId="88" xfId="0" applyFont="1" applyFill="1" applyBorder="1" applyAlignment="1">
      <alignment horizontal="left" vertical="center"/>
    </xf>
    <xf numFmtId="44" fontId="10" fillId="0" borderId="96" xfId="2" applyFont="1" applyFill="1" applyBorder="1" applyAlignment="1">
      <alignment horizontal="center" vertical="center"/>
    </xf>
    <xf numFmtId="44" fontId="10" fillId="0" borderId="86" xfId="2" applyFont="1" applyFill="1" applyBorder="1" applyAlignment="1">
      <alignment horizontal="center" vertical="center"/>
    </xf>
    <xf numFmtId="44" fontId="10" fillId="0" borderId="89" xfId="2" applyFont="1" applyFill="1" applyBorder="1" applyAlignment="1">
      <alignment horizontal="center" vertical="center"/>
    </xf>
    <xf numFmtId="44" fontId="10" fillId="0" borderId="84" xfId="2" applyFont="1" applyFill="1" applyBorder="1" applyAlignment="1">
      <alignment horizontal="center" vertical="center"/>
    </xf>
    <xf numFmtId="44" fontId="10" fillId="0" borderId="94" xfId="2" applyFont="1" applyFill="1" applyBorder="1" applyAlignment="1">
      <alignment horizontal="center" vertical="center"/>
    </xf>
    <xf numFmtId="44" fontId="10" fillId="0" borderId="96" xfId="2" applyFont="1" applyBorder="1" applyAlignment="1">
      <alignment horizontal="center" vertical="center"/>
    </xf>
    <xf numFmtId="0" fontId="4" fillId="0" borderId="67" xfId="0" applyFont="1" applyBorder="1" applyAlignment="1">
      <alignment horizontal="right" vertical="top" wrapText="1"/>
    </xf>
    <xf numFmtId="0" fontId="4" fillId="0" borderId="67" xfId="0" applyFont="1" applyBorder="1" applyAlignment="1">
      <alignment horizontal="center" vertical="center" wrapText="1"/>
    </xf>
    <xf numFmtId="0" fontId="47" fillId="4" borderId="67" xfId="0" applyFont="1" applyFill="1" applyBorder="1" applyAlignment="1">
      <alignment horizontal="center" vertical="center"/>
    </xf>
    <xf numFmtId="0" fontId="8" fillId="18" borderId="90" xfId="0" applyFont="1" applyFill="1" applyBorder="1" applyAlignment="1">
      <alignment horizontal="left" indent="1"/>
    </xf>
    <xf numFmtId="0" fontId="8" fillId="18" borderId="91" xfId="0" applyFont="1" applyFill="1" applyBorder="1" applyAlignment="1">
      <alignment horizontal="left" indent="1"/>
    </xf>
    <xf numFmtId="0" fontId="5" fillId="0" borderId="81" xfId="0" applyFont="1" applyBorder="1" applyAlignment="1">
      <alignment horizontal="left" vertical="center"/>
    </xf>
    <xf numFmtId="44" fontId="5" fillId="0" borderId="81" xfId="2" applyFont="1" applyBorder="1" applyAlignment="1">
      <alignment horizontal="center" vertical="center"/>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1" fontId="3" fillId="0" borderId="1" xfId="0" applyNumberFormat="1" applyFont="1" applyBorder="1" applyAlignment="1">
      <alignment horizontal="center"/>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cellXfs>
  <cellStyles count="20">
    <cellStyle name="Comma" xfId="1" builtinId="3"/>
    <cellStyle name="Comma 2 2" xfId="5"/>
    <cellStyle name="Comma 5 2 2" xfId="10"/>
    <cellStyle name="Comma_UNI Format" xfId="17"/>
    <cellStyle name="Currency" xfId="2" builtinId="4"/>
    <cellStyle name="Hyperlink" xfId="3" builtinId="8"/>
    <cellStyle name="Hyperlink 2" xfId="14"/>
    <cellStyle name="Hyperlink 3" xfId="7"/>
    <cellStyle name="Hyperlink_UNI Format" xfId="16"/>
    <cellStyle name="Normal" xfId="0" builtinId="0"/>
    <cellStyle name="Normal 10 2 2 2" xfId="6"/>
    <cellStyle name="Normal 13" xfId="9"/>
    <cellStyle name="Normal 2" xfId="19"/>
    <cellStyle name="Normal 2 2 2" xfId="4"/>
    <cellStyle name="Normal 3" xfId="18"/>
    <cellStyle name="Normal 3 2" xfId="8"/>
    <cellStyle name="Normal_2002 CSI test" xfId="11"/>
    <cellStyle name="Normal_estimate intro" xfId="13"/>
    <cellStyle name="Normal_HFG dd-cd Template" xfId="12"/>
    <cellStyle name="Normal_UNI Format" xfId="15"/>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9BFDFB"/>
      <color rgb="FFFF66FF"/>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externalLink" Target="externalLinks/externalLink2.xml"/><Relationship Id="rId21" Type="http://schemas.openxmlformats.org/officeDocument/2006/relationships/externalLink" Target="externalLinks/externalLink3.xml"/><Relationship Id="rId22" Type="http://schemas.openxmlformats.org/officeDocument/2006/relationships/externalLink" Target="externalLinks/externalLink4.xml"/><Relationship Id="rId23" Type="http://schemas.openxmlformats.org/officeDocument/2006/relationships/externalLink" Target="externalLinks/externalLink5.xml"/><Relationship Id="rId24" Type="http://schemas.openxmlformats.org/officeDocument/2006/relationships/externalLink" Target="externalLinks/externalLink6.xml"/><Relationship Id="rId25" Type="http://schemas.openxmlformats.org/officeDocument/2006/relationships/externalLink" Target="externalLinks/externalLink7.xml"/><Relationship Id="rId26" Type="http://schemas.openxmlformats.org/officeDocument/2006/relationships/externalLink" Target="externalLinks/externalLink8.xml"/><Relationship Id="rId27" Type="http://schemas.openxmlformats.org/officeDocument/2006/relationships/externalLink" Target="externalLinks/externalLink9.xml"/><Relationship Id="rId28" Type="http://schemas.openxmlformats.org/officeDocument/2006/relationships/externalLink" Target="externalLinks/externalLink10.xml"/><Relationship Id="rId29" Type="http://schemas.openxmlformats.org/officeDocument/2006/relationships/externalLink" Target="externalLinks/externalLink11.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12.xml"/><Relationship Id="rId31" Type="http://schemas.openxmlformats.org/officeDocument/2006/relationships/externalLink" Target="externalLinks/externalLink13.xml"/><Relationship Id="rId32" Type="http://schemas.openxmlformats.org/officeDocument/2006/relationships/externalLink" Target="externalLinks/externalLink14.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15.xml"/><Relationship Id="rId34" Type="http://schemas.openxmlformats.org/officeDocument/2006/relationships/externalLink" Target="externalLinks/externalLink16.xml"/><Relationship Id="rId35" Type="http://schemas.openxmlformats.org/officeDocument/2006/relationships/externalLink" Target="externalLinks/externalLink17.xml"/><Relationship Id="rId36" Type="http://schemas.openxmlformats.org/officeDocument/2006/relationships/externalLink" Target="externalLinks/externalLink18.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externalLink" Target="externalLinks/externalLink1.xml"/><Relationship Id="rId37" Type="http://schemas.openxmlformats.org/officeDocument/2006/relationships/externalLink" Target="externalLinks/externalLink19.xml"/><Relationship Id="rId38" Type="http://schemas.openxmlformats.org/officeDocument/2006/relationships/externalLink" Target="externalLinks/externalLink20.xml"/><Relationship Id="rId39" Type="http://schemas.openxmlformats.org/officeDocument/2006/relationships/theme" Target="theme/theme1.xml"/><Relationship Id="rId40" Type="http://schemas.openxmlformats.org/officeDocument/2006/relationships/styles" Target="styles.xml"/><Relationship Id="rId41" Type="http://schemas.openxmlformats.org/officeDocument/2006/relationships/sharedStrings" Target="sharedStrings.xml"/><Relationship Id="rId4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10</xdr:col>
      <xdr:colOff>228600</xdr:colOff>
      <xdr:row>29</xdr:row>
      <xdr:rowOff>66675</xdr:rowOff>
    </xdr:from>
    <xdr:ext cx="1028700" cy="304800"/>
    <xdr:pic>
      <xdr:nvPicPr>
        <xdr:cNvPr id="2" name="Picture 4" descr="Arup_K.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0075" y="8810625"/>
          <a:ext cx="1028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84604</xdr:colOff>
      <xdr:row>2</xdr:row>
      <xdr:rowOff>152960</xdr:rowOff>
    </xdr:from>
    <xdr:ext cx="10182225" cy="5953125"/>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379" y="476810"/>
          <a:ext cx="10182225" cy="595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1057275</xdr:colOff>
      <xdr:row>26</xdr:row>
      <xdr:rowOff>114300</xdr:rowOff>
    </xdr:from>
    <xdr:to>
      <xdr:col>9</xdr:col>
      <xdr:colOff>323015</xdr:colOff>
      <xdr:row>64</xdr:row>
      <xdr:rowOff>27678</xdr:rowOff>
    </xdr:to>
    <xdr:pic>
      <xdr:nvPicPr>
        <xdr:cNvPr id="2" name="Picture 1"/>
        <xdr:cNvPicPr>
          <a:picLocks noChangeAspect="1"/>
        </xdr:cNvPicPr>
      </xdr:nvPicPr>
      <xdr:blipFill>
        <a:blip xmlns:r="http://schemas.openxmlformats.org/officeDocument/2006/relationships" r:embed="rId1"/>
        <a:stretch>
          <a:fillRect/>
        </a:stretch>
      </xdr:blipFill>
      <xdr:spPr>
        <a:xfrm>
          <a:off x="1057275" y="5086350"/>
          <a:ext cx="6676190" cy="7171428"/>
        </a:xfrm>
        <a:prstGeom prst="rect">
          <a:avLst/>
        </a:prstGeom>
      </xdr:spPr>
    </xdr:pic>
    <xdr:clientData/>
  </xdr:twoCellAnchor>
  <xdr:twoCellAnchor editAs="oneCell">
    <xdr:from>
      <xdr:col>1</xdr:col>
      <xdr:colOff>0</xdr:colOff>
      <xdr:row>67</xdr:row>
      <xdr:rowOff>0</xdr:rowOff>
    </xdr:from>
    <xdr:to>
      <xdr:col>10</xdr:col>
      <xdr:colOff>218240</xdr:colOff>
      <xdr:row>75</xdr:row>
      <xdr:rowOff>180760</xdr:rowOff>
    </xdr:to>
    <xdr:pic>
      <xdr:nvPicPr>
        <xdr:cNvPr id="3" name="Picture 2"/>
        <xdr:cNvPicPr>
          <a:picLocks noChangeAspect="1"/>
        </xdr:cNvPicPr>
      </xdr:nvPicPr>
      <xdr:blipFill>
        <a:blip xmlns:r="http://schemas.openxmlformats.org/officeDocument/2006/relationships" r:embed="rId2"/>
        <a:stretch>
          <a:fillRect/>
        </a:stretch>
      </xdr:blipFill>
      <xdr:spPr>
        <a:xfrm>
          <a:off x="1562100" y="12801600"/>
          <a:ext cx="6676190" cy="17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141111%20Dome%20Members%20&amp;%20Quantities.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02-23%20Rugby%20Bus%20Infrastructure%20Indicative%20Cost%20Estimate.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San%20Jose%20PRT%20feasibility%20CAPEX%20costs%202012-01-24.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R728100%25.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E903.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parking.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120328_Preliminary%20funding%20gap%20(3).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60110_January%202010%20OBC%20update_28yrs.xlsm"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0168-6860%20rpt%20360a%2009-11-03-UCI%20Medical%20Center.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Master%20Construction%20Types%20Rev.04_waterwaysproject.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Building%20Cost%20Plan%20(Complex%20version%20AG%20May%202008).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11-01-25%20Guernsey%20Data%20Park%20-%20Route%20Militaire%20Cost%20Plan%20Issue.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Pharmacy"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San%20Jose%20ATN%20Cost%20Estimate%202012-08-2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Gibfield%20Remediation%20Estimate_Rev03.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ost%20Estimate%20Template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SB%20cost%20comparison.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umber%20Bridge%20Toll%20Plaza%20Costing%202010-03-10%20Issued.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0110630_DE_Tool_SC1+2ii.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ost%20Plan%2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ragonFly Vectran"/>
      <sheetName val="DragonFly Carbon Fiber"/>
      <sheetName val="Iterative Wind Calc"/>
      <sheetName val="Tristram Design"/>
      <sheetName val="Rob Design"/>
      <sheetName val="Samson Ropes"/>
      <sheetName val="Soficar Toray"/>
      <sheetName val="Courtland Vectran 12"/>
      <sheetName val="LOWER BOUND"/>
      <sheetName val="JAVELIN"/>
      <sheetName val="UPPER BOUND"/>
      <sheetName val="Sheet1"/>
    </sheetNames>
    <sheetDataSet>
      <sheetData sheetId="0"/>
      <sheetData sheetId="1"/>
      <sheetData sheetId="2"/>
      <sheetData sheetId="3"/>
      <sheetData sheetId="4"/>
      <sheetData sheetId="5"/>
      <sheetData sheetId="6">
        <row r="3">
          <cell r="B3">
            <v>6</v>
          </cell>
        </row>
      </sheetData>
      <sheetData sheetId="7">
        <row r="3">
          <cell r="C3">
            <v>3</v>
          </cell>
        </row>
      </sheetData>
      <sheetData sheetId="8">
        <row r="8">
          <cell r="K8">
            <v>0</v>
          </cell>
        </row>
        <row r="13">
          <cell r="J13">
            <v>500</v>
          </cell>
          <cell r="K13">
            <v>0</v>
          </cell>
        </row>
        <row r="14">
          <cell r="J14">
            <v>0</v>
          </cell>
          <cell r="K14">
            <v>150</v>
          </cell>
        </row>
        <row r="15">
          <cell r="J15">
            <v>-500</v>
          </cell>
          <cell r="K15">
            <v>0</v>
          </cell>
        </row>
      </sheetData>
      <sheetData sheetId="9"/>
      <sheetData sheetId="10"/>
      <sheetData sheetId="1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eries"/>
      <sheetName val="To do"/>
      <sheetName val="Route Risk (3)"/>
      <sheetName val="Route Risk"/>
      <sheetName val="Cover"/>
      <sheetName val="Rev"/>
      <sheetName val="Assumptions"/>
      <sheetName val="Grd Summary"/>
      <sheetName val="Crick Rd Railway Station"/>
      <sheetName val="Radio Station Bus Link Costs"/>
      <sheetName val="Gateway Bus Link Cost"/>
      <sheetName val="Hospital Bus Link Cost"/>
      <sheetName val="Bus Calc"/>
      <sheetName val="1.11"/>
      <sheetName val="1.12"/>
      <sheetName val="5.1"/>
      <sheetName val="5.2"/>
      <sheetName val="9.1"/>
      <sheetName val="12.1"/>
      <sheetName val="12.3"/>
      <sheetName val="14.1"/>
      <sheetName val="16.1"/>
      <sheetName val="16.2"/>
      <sheetName val="18.8"/>
      <sheetName val="Station without Facilities"/>
      <sheetName val="Old Oak (Classic)"/>
      <sheetName val="Selection"/>
      <sheetName val="8(11)"/>
      <sheetName val="8(16)"/>
      <sheetName val="8(21)"/>
      <sheetName val="8(23)"/>
      <sheetName val="Earthworks"/>
      <sheetName val="Embankment"/>
      <sheetName val="Cutting"/>
      <sheetName val="Types"/>
      <sheetName val="A"/>
      <sheetName val="B"/>
      <sheetName val="D"/>
      <sheetName val="E"/>
      <sheetName val="F"/>
      <sheetName val="G"/>
      <sheetName val="H"/>
      <sheetName val="I"/>
      <sheetName val="M"/>
      <sheetName val="Track"/>
      <sheetName val="P (single)"/>
      <sheetName val="P (2 track)"/>
      <sheetName val="P (4 track)"/>
      <sheetName val="OHLE (single)"/>
      <sheetName val="OHLE (2 track)"/>
      <sheetName val="OHLE (4 track)"/>
      <sheetName val="Signalling"/>
      <sheetName val="Road"/>
      <sheetName val="R (rural)"/>
      <sheetName val="R (urban)"/>
      <sheetName val="R (major)"/>
      <sheetName val="Structures"/>
      <sheetName val="S (single)"/>
      <sheetName val="S (2 span)"/>
      <sheetName val="S (3 span)"/>
      <sheetName val="S (elevated)"/>
      <sheetName val="Blank Bill"/>
      <sheetName val="Retaining Wall"/>
      <sheetName val="Tunnel"/>
      <sheetName val="T (detail)"/>
      <sheetName val="Old Oak (Classic) (2)"/>
      <sheetName val="Hospital Station"/>
      <sheetName val="Station (template)"/>
      <sheetName val="Cost Data"/>
      <sheetName val="Sub_Series"/>
      <sheetName val="Blank Bill &amp; Dim"/>
    </sheetNames>
    <sheetDataSet>
      <sheetData sheetId="0">
        <row r="5">
          <cell r="E5" t="str">
            <v>Nil/Included</v>
          </cell>
          <cell r="F5">
            <v>0</v>
          </cell>
          <cell r="G5">
            <v>0</v>
          </cell>
        </row>
        <row r="6">
          <cell r="E6" t="str">
            <v>Remote</v>
          </cell>
          <cell r="F6">
            <v>1E-4</v>
          </cell>
          <cell r="G6">
            <v>1E-3</v>
          </cell>
        </row>
        <row r="7">
          <cell r="E7" t="str">
            <v>Minimal</v>
          </cell>
          <cell r="F7">
            <v>0</v>
          </cell>
          <cell r="G7">
            <v>0.05</v>
          </cell>
        </row>
        <row r="8">
          <cell r="E8" t="str">
            <v>Low</v>
          </cell>
          <cell r="F8">
            <v>0.05</v>
          </cell>
          <cell r="G8">
            <v>0.35</v>
          </cell>
        </row>
        <row r="9">
          <cell r="E9" t="str">
            <v>Medium</v>
          </cell>
          <cell r="F9">
            <v>0.35</v>
          </cell>
          <cell r="G9">
            <v>0.65</v>
          </cell>
        </row>
        <row r="10">
          <cell r="E10" t="str">
            <v>High</v>
          </cell>
          <cell r="F10">
            <v>0.65</v>
          </cell>
          <cell r="G10">
            <v>0.95</v>
          </cell>
        </row>
        <row r="11">
          <cell r="E11" t="str">
            <v>Almost Certain</v>
          </cell>
          <cell r="F11">
            <v>0.95</v>
          </cell>
          <cell r="G11">
            <v>1</v>
          </cell>
        </row>
        <row r="12">
          <cell r="E12" t="str">
            <v>Certain</v>
          </cell>
          <cell r="F12">
            <v>1</v>
          </cell>
          <cell r="G1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ow r="5">
          <cell r="D5" t="str">
            <v>Embankment</v>
          </cell>
          <cell r="E5">
            <v>21.502727272727274</v>
          </cell>
        </row>
        <row r="6">
          <cell r="D6" t="str">
            <v>Cutting</v>
          </cell>
          <cell r="E6">
            <v>17.85377023025681</v>
          </cell>
        </row>
        <row r="11">
          <cell r="D11" t="str">
            <v xml:space="preserve">New </v>
          </cell>
        </row>
        <row r="12">
          <cell r="D12" t="str">
            <v>Extended</v>
          </cell>
        </row>
      </sheetData>
      <sheetData sheetId="32">
        <row r="27">
          <cell r="J27">
            <v>21.502727272727274</v>
          </cell>
        </row>
      </sheetData>
      <sheetData sheetId="33">
        <row r="21">
          <cell r="J21">
            <v>17.85377023025681</v>
          </cell>
        </row>
      </sheetData>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5">
          <cell r="D5" t="str">
            <v>Single track</v>
          </cell>
          <cell r="E5">
            <v>860</v>
          </cell>
        </row>
        <row r="6">
          <cell r="D6" t="str">
            <v>2 track</v>
          </cell>
          <cell r="E6">
            <v>1370</v>
          </cell>
        </row>
        <row r="7">
          <cell r="D7" t="str">
            <v>4 track</v>
          </cell>
          <cell r="E7">
            <v>2440</v>
          </cell>
        </row>
        <row r="15">
          <cell r="D15" t="str">
            <v>Single track</v>
          </cell>
          <cell r="E15">
            <v>390</v>
          </cell>
        </row>
        <row r="16">
          <cell r="D16" t="str">
            <v>2 track</v>
          </cell>
          <cell r="E16">
            <v>780</v>
          </cell>
        </row>
        <row r="17">
          <cell r="D17" t="str">
            <v>4 track</v>
          </cell>
          <cell r="E17">
            <v>1530</v>
          </cell>
        </row>
      </sheetData>
      <sheetData sheetId="45" refreshError="1"/>
      <sheetData sheetId="46" refreshError="1"/>
      <sheetData sheetId="47" refreshError="1"/>
      <sheetData sheetId="48" refreshError="1"/>
      <sheetData sheetId="49" refreshError="1"/>
      <sheetData sheetId="50" refreshError="1"/>
      <sheetData sheetId="51">
        <row r="38">
          <cell r="B38">
            <v>180</v>
          </cell>
        </row>
        <row r="39">
          <cell r="B39">
            <v>126</v>
          </cell>
        </row>
      </sheetData>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ow r="32">
          <cell r="J32">
            <v>370</v>
          </cell>
        </row>
      </sheetData>
      <sheetData sheetId="63">
        <row r="5">
          <cell r="S5">
            <v>0.2</v>
          </cell>
        </row>
        <row r="7">
          <cell r="C7" t="str">
            <v>Single9800</v>
          </cell>
          <cell r="D7" t="str">
            <v>Single</v>
          </cell>
          <cell r="E7">
            <v>9800</v>
          </cell>
          <cell r="F7">
            <v>49000</v>
          </cell>
          <cell r="G7">
            <v>1</v>
          </cell>
          <cell r="L7">
            <v>0</v>
          </cell>
          <cell r="M7">
            <v>4500</v>
          </cell>
          <cell r="N7">
            <v>17000</v>
          </cell>
          <cell r="O7">
            <v>50</v>
          </cell>
          <cell r="P7">
            <v>2000</v>
          </cell>
          <cell r="Q7">
            <v>5.0000000000000001E-4</v>
          </cell>
          <cell r="R7">
            <v>49425</v>
          </cell>
          <cell r="S7">
            <v>9885</v>
          </cell>
          <cell r="U7">
            <v>45050</v>
          </cell>
        </row>
        <row r="8">
          <cell r="C8" t="str">
            <v>Single12800</v>
          </cell>
          <cell r="D8" t="str">
            <v>Single</v>
          </cell>
          <cell r="E8">
            <v>12800</v>
          </cell>
          <cell r="F8">
            <v>74000</v>
          </cell>
          <cell r="G8">
            <v>1</v>
          </cell>
          <cell r="L8">
            <v>0</v>
          </cell>
          <cell r="M8">
            <v>4500</v>
          </cell>
          <cell r="N8">
            <v>17000</v>
          </cell>
          <cell r="O8">
            <v>50</v>
          </cell>
          <cell r="P8">
            <v>2000</v>
          </cell>
          <cell r="Q8">
            <v>5.0000000000000001E-4</v>
          </cell>
          <cell r="R8">
            <v>74425</v>
          </cell>
          <cell r="S8">
            <v>14885</v>
          </cell>
          <cell r="U8">
            <v>66300</v>
          </cell>
        </row>
        <row r="10">
          <cell r="C10" t="str">
            <v>Dual7250</v>
          </cell>
          <cell r="D10" t="str">
            <v>Dual</v>
          </cell>
          <cell r="E10">
            <v>7250</v>
          </cell>
          <cell r="F10">
            <v>32000</v>
          </cell>
          <cell r="G10">
            <v>2</v>
          </cell>
          <cell r="H10">
            <v>4500</v>
          </cell>
          <cell r="I10">
            <v>17000</v>
          </cell>
          <cell r="J10">
            <v>10</v>
          </cell>
          <cell r="K10">
            <v>250</v>
          </cell>
          <cell r="L10">
            <v>4.0000000000000001E-3</v>
          </cell>
          <cell r="M10">
            <v>4500</v>
          </cell>
          <cell r="N10">
            <v>17000</v>
          </cell>
          <cell r="O10">
            <v>50</v>
          </cell>
          <cell r="P10">
            <v>2000</v>
          </cell>
          <cell r="Q10">
            <v>5.0000000000000001E-4</v>
          </cell>
          <cell r="R10">
            <v>65105</v>
          </cell>
          <cell r="S10">
            <v>13021</v>
          </cell>
          <cell r="U10">
            <v>61625</v>
          </cell>
        </row>
        <row r="11">
          <cell r="C11" t="str">
            <v>Dual8500</v>
          </cell>
          <cell r="D11" t="str">
            <v>Dual</v>
          </cell>
          <cell r="E11">
            <v>8500</v>
          </cell>
          <cell r="F11">
            <v>40000</v>
          </cell>
          <cell r="G11">
            <v>2</v>
          </cell>
          <cell r="H11">
            <v>4500</v>
          </cell>
          <cell r="I11">
            <v>17000</v>
          </cell>
          <cell r="J11">
            <v>10</v>
          </cell>
          <cell r="K11">
            <v>250</v>
          </cell>
          <cell r="L11">
            <v>4.0000000000000001E-3</v>
          </cell>
          <cell r="M11">
            <v>4500</v>
          </cell>
          <cell r="N11">
            <v>17000</v>
          </cell>
          <cell r="O11">
            <v>50</v>
          </cell>
          <cell r="P11">
            <v>2000</v>
          </cell>
          <cell r="Q11">
            <v>5.0000000000000001E-4</v>
          </cell>
          <cell r="R11">
            <v>81105</v>
          </cell>
          <cell r="S11">
            <v>16221</v>
          </cell>
          <cell r="U11">
            <v>77775</v>
          </cell>
        </row>
        <row r="13">
          <cell r="U13">
            <v>2000000</v>
          </cell>
        </row>
        <row r="14">
          <cell r="U14">
            <v>6000000</v>
          </cell>
        </row>
      </sheetData>
      <sheetData sheetId="64">
        <row r="7">
          <cell r="B7">
            <v>4500</v>
          </cell>
          <cell r="C7">
            <v>1000</v>
          </cell>
          <cell r="E7">
            <v>17000</v>
          </cell>
        </row>
        <row r="8">
          <cell r="D8">
            <v>16137601.478325572</v>
          </cell>
        </row>
        <row r="10">
          <cell r="B10">
            <v>7000</v>
          </cell>
          <cell r="C10">
            <v>1000</v>
          </cell>
          <cell r="E10">
            <v>30000</v>
          </cell>
        </row>
        <row r="11">
          <cell r="D11">
            <v>29697390.756655827</v>
          </cell>
        </row>
        <row r="13">
          <cell r="B13">
            <v>7250</v>
          </cell>
          <cell r="C13">
            <v>1000</v>
          </cell>
          <cell r="E13">
            <v>32000</v>
          </cell>
        </row>
        <row r="14">
          <cell r="D14">
            <v>31236657.882620476</v>
          </cell>
        </row>
        <row r="16">
          <cell r="B16">
            <v>8000</v>
          </cell>
          <cell r="C16">
            <v>1000</v>
          </cell>
          <cell r="E16">
            <v>37000</v>
          </cell>
        </row>
        <row r="17">
          <cell r="D17">
            <v>36054410.022112593</v>
          </cell>
        </row>
        <row r="19">
          <cell r="B19">
            <v>8500</v>
          </cell>
          <cell r="C19">
            <v>1000</v>
          </cell>
          <cell r="E19">
            <v>40000</v>
          </cell>
        </row>
        <row r="20">
          <cell r="D20">
            <v>39432870.416439109</v>
          </cell>
        </row>
        <row r="22">
          <cell r="B22">
            <v>9000</v>
          </cell>
          <cell r="C22">
            <v>1000</v>
          </cell>
          <cell r="E22">
            <v>43000</v>
          </cell>
        </row>
        <row r="23">
          <cell r="D23">
            <v>42944631.318497725</v>
          </cell>
        </row>
        <row r="25">
          <cell r="B25">
            <v>9800</v>
          </cell>
          <cell r="C25">
            <v>1000</v>
          </cell>
          <cell r="E25">
            <v>49000</v>
          </cell>
        </row>
        <row r="26">
          <cell r="D26">
            <v>48840713.817874268</v>
          </cell>
        </row>
        <row r="28">
          <cell r="B28">
            <v>10000</v>
          </cell>
          <cell r="C28">
            <v>1000</v>
          </cell>
          <cell r="E28">
            <v>51000</v>
          </cell>
        </row>
        <row r="29">
          <cell r="D29">
            <v>50368054.645811245</v>
          </cell>
        </row>
        <row r="31">
          <cell r="B31">
            <v>10500</v>
          </cell>
          <cell r="C31">
            <v>1000</v>
          </cell>
          <cell r="E31">
            <v>55000</v>
          </cell>
        </row>
        <row r="32">
          <cell r="D32">
            <v>54279717.071066141</v>
          </cell>
        </row>
        <row r="34">
          <cell r="B34">
            <v>11000</v>
          </cell>
          <cell r="C34">
            <v>1000</v>
          </cell>
          <cell r="E34">
            <v>59000</v>
          </cell>
        </row>
        <row r="35">
          <cell r="D35">
            <v>58324680.004053138</v>
          </cell>
        </row>
        <row r="37">
          <cell r="B37">
            <v>11500</v>
          </cell>
          <cell r="C37">
            <v>1000</v>
          </cell>
          <cell r="E37">
            <v>63000</v>
          </cell>
        </row>
        <row r="38">
          <cell r="D38">
            <v>62502943.444772221</v>
          </cell>
        </row>
        <row r="40">
          <cell r="B40">
            <v>12000</v>
          </cell>
          <cell r="C40">
            <v>1000</v>
          </cell>
          <cell r="E40">
            <v>67000</v>
          </cell>
        </row>
        <row r="41">
          <cell r="D41">
            <v>66814507.393223405</v>
          </cell>
        </row>
        <row r="43">
          <cell r="B43">
            <v>12500</v>
          </cell>
          <cell r="C43">
            <v>1000</v>
          </cell>
          <cell r="E43">
            <v>72000</v>
          </cell>
        </row>
        <row r="44">
          <cell r="D44">
            <v>71259371.849406689</v>
          </cell>
        </row>
        <row r="46">
          <cell r="B46">
            <v>12800</v>
          </cell>
          <cell r="C46">
            <v>1000</v>
          </cell>
          <cell r="E46">
            <v>74000</v>
          </cell>
        </row>
        <row r="47">
          <cell r="D47">
            <v>73990274.76682806</v>
          </cell>
        </row>
        <row r="49">
          <cell r="B49">
            <v>13500</v>
          </cell>
          <cell r="C49">
            <v>1000</v>
          </cell>
          <cell r="E49">
            <v>81000</v>
          </cell>
        </row>
        <row r="50">
          <cell r="D50">
            <v>80549002.284969538</v>
          </cell>
        </row>
        <row r="52">
          <cell r="B52">
            <v>14000</v>
          </cell>
          <cell r="C52">
            <v>1000</v>
          </cell>
          <cell r="E52">
            <v>86000</v>
          </cell>
        </row>
        <row r="53">
          <cell r="D53">
            <v>85393768.264349073</v>
          </cell>
        </row>
        <row r="55">
          <cell r="B55">
            <v>14500</v>
          </cell>
          <cell r="C55">
            <v>1000</v>
          </cell>
          <cell r="E55">
            <v>91000</v>
          </cell>
        </row>
        <row r="56">
          <cell r="D56">
            <v>90371834.751460731</v>
          </cell>
        </row>
        <row r="58">
          <cell r="B58">
            <v>15000</v>
          </cell>
          <cell r="C58">
            <v>1000</v>
          </cell>
          <cell r="E58">
            <v>96000</v>
          </cell>
        </row>
        <row r="59">
          <cell r="D59">
            <v>95483201.746304482</v>
          </cell>
        </row>
      </sheetData>
      <sheetData sheetId="65" refreshError="1"/>
      <sheetData sheetId="66" refreshError="1"/>
      <sheetData sheetId="67" refreshError="1"/>
      <sheetData sheetId="68"/>
      <sheetData sheetId="69" refreshError="1"/>
      <sheetData sheetId="7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Cover"/>
      <sheetName val="Notes"/>
      <sheetName val="Methodology"/>
      <sheetName val="Journeys"/>
      <sheetName val="COST SUMMARY"/>
      <sheetName val="Route Segments"/>
      <sheetName val="1.1.1 El G'way"/>
      <sheetName val="1.1.2 At-G G'way"/>
      <sheetName val="1.2.1 Stations"/>
      <sheetName val="1.2.2 Depot and Control Room"/>
      <sheetName val="1.2.3 Power"/>
      <sheetName val="1.3 Ancillaries"/>
      <sheetName val="1.4 Other Capital Costs"/>
      <sheetName val="G'way Lookup Table"/>
    </sheetNames>
    <sheetDataSet>
      <sheetData sheetId="0">
        <row r="5">
          <cell r="F5" t="str">
            <v>San Jose PRT</v>
          </cell>
        </row>
        <row r="7">
          <cell r="F7" t="str">
            <v>214704-00</v>
          </cell>
        </row>
        <row r="9">
          <cell r="F9" t="str">
            <v>RJO</v>
          </cell>
        </row>
        <row r="13">
          <cell r="F13">
            <v>40899</v>
          </cell>
        </row>
      </sheetData>
      <sheetData sheetId="1"/>
      <sheetData sheetId="2"/>
      <sheetData sheetId="3">
        <row r="13">
          <cell r="F13">
            <v>6284</v>
          </cell>
        </row>
      </sheetData>
      <sheetData sheetId="4"/>
      <sheetData sheetId="5">
        <row r="128">
          <cell r="H128">
            <v>14122</v>
          </cell>
        </row>
      </sheetData>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Names"/>
    </sheetNames>
    <sheetDataSet>
      <sheetData sheetId="0" refreshError="1">
        <row r="3">
          <cell r="A3">
            <v>0.22</v>
          </cell>
        </row>
        <row r="4">
          <cell r="A4">
            <v>0.06</v>
          </cell>
        </row>
        <row r="5">
          <cell r="A5">
            <v>0.01</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um N"/>
      <sheetName val="Exe Sum"/>
      <sheetName val="BU N"/>
      <sheetName val="Sum R"/>
      <sheetName val="BU R"/>
      <sheetName val="O Req"/>
      <sheetName val="Compare"/>
      <sheetName val="VE"/>
      <sheetName val="O Req (2)"/>
      <sheetName val="Alternates"/>
    </sheetNames>
    <sheetDataSet>
      <sheetData sheetId="0" refreshError="1">
        <row r="32">
          <cell r="D32">
            <v>4.2010109159747594E-2</v>
          </cell>
        </row>
      </sheetData>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 Summary Parking "/>
      <sheetName val="EstimateParking "/>
      <sheetName val="Summary GTC "/>
      <sheetName val="EstimateGTC"/>
    </sheetNames>
    <sheetDataSet>
      <sheetData sheetId="0"/>
      <sheetData sheetId="1"/>
      <sheetData sheetId="2"/>
      <sheetData sheetId="3" refreshError="1">
        <row r="4">
          <cell r="B4">
            <v>34364</v>
          </cell>
        </row>
      </sheetData>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itle"/>
      <sheetName val="Scenario definition"/>
      <sheetName val="Summary"/>
      <sheetName val="Assumptions"/>
      <sheetName val="Scenario 1"/>
      <sheetName val="Scenario 2"/>
      <sheetName val="Scenario 3"/>
      <sheetName val="Bus savings"/>
      <sheetName val="CAPEX"/>
      <sheetName val="OPEX"/>
      <sheetName val="CPI"/>
      <sheetName val="Chart data"/>
      <sheetName val="Funding gap 1"/>
      <sheetName val="Funding gap 2"/>
      <sheetName val="Costs and revenues 1"/>
      <sheetName val="Costs and revenues 2"/>
    </sheetNames>
    <sheetDataSet>
      <sheetData sheetId="0" refreshError="1"/>
      <sheetData sheetId="1" refreshError="1"/>
      <sheetData sheetId="2"/>
      <sheetData sheetId="3"/>
      <sheetData sheetId="4"/>
      <sheetData sheetId="5"/>
      <sheetData sheetId="6"/>
      <sheetData sheetId="7">
        <row r="43">
          <cell r="F43">
            <v>3703598.06</v>
          </cell>
        </row>
      </sheetData>
      <sheetData sheetId="8">
        <row r="11">
          <cell r="D11">
            <v>-86457296.630168959</v>
          </cell>
        </row>
      </sheetData>
      <sheetData sheetId="9">
        <row r="4">
          <cell r="C4">
            <v>-8103676.0543687101</v>
          </cell>
        </row>
      </sheetData>
      <sheetData sheetId="10">
        <row r="44">
          <cell r="E44">
            <v>3.2291996777618563E-2</v>
          </cell>
        </row>
      </sheetData>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Cover"/>
      <sheetName val="Contents"/>
      <sheetName val="Scenario_Control"/>
      <sheetName val="TI"/>
      <sheetName val="TD_Con"/>
      <sheetName val="TD_Ops"/>
      <sheetName val="Const"/>
      <sheetName val="Ops"/>
      <sheetName val="Annual"/>
      <sheetName val="Outputs"/>
      <sheetName val="Graphs"/>
      <sheetName val="Debt"/>
      <sheetName val="RPI Swap"/>
      <sheetName val="Change log"/>
      <sheetName val="Outturn capex 2"/>
      <sheetName val="Jacobs Tonnage inputs"/>
      <sheetName val="Landfill tax calculation"/>
      <sheetName val="ReportContents"/>
    </sheetNames>
    <definedNames>
      <definedName name="Header1" refersTo="#REF!" sheetId="8"/>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Fill this out first..."/>
      <sheetName val="Checklist"/>
      <sheetName val="Front"/>
      <sheetName val="Front (2)"/>
      <sheetName val="Simple Letter"/>
      <sheetName val="Inside"/>
      <sheetName val="Contents"/>
      <sheetName val="Basis"/>
      <sheetName val="Inclusions"/>
      <sheetName val="Exclusions"/>
      <sheetName val="Overall Summary"/>
      <sheetName val="Section 1 Areas"/>
      <sheetName val="Overall Component Summary"/>
      <sheetName val="Section 1 Summary"/>
      <sheetName val="Section 1"/>
      <sheetName val="Section 2 Areas"/>
      <sheetName val="Section 2 Summary"/>
      <sheetName val="Section 2"/>
      <sheetName val="Section 3 Areas"/>
      <sheetName val="Section 3 Summary"/>
      <sheetName val="Section 3"/>
      <sheetName val="Section 4 Areas"/>
      <sheetName val="Section 4 Summary"/>
      <sheetName val="Section 4"/>
      <sheetName val="Section 5 Areas"/>
      <sheetName val="Section 5 Summary"/>
      <sheetName val="Section 5"/>
      <sheetName val="Section 6 Areas"/>
      <sheetName val="Section 6 Summary"/>
      <sheetName val="Section 6"/>
      <sheetName val="Section 7 Areas"/>
      <sheetName val="Section 7 Summary"/>
      <sheetName val="Section 7"/>
      <sheetName val="Section 8 Areas"/>
      <sheetName val="Section 8 Summary"/>
      <sheetName val="Section 8"/>
      <sheetName val="Comparison Summary - Sitework"/>
      <sheetName val="Alternates"/>
      <sheetName val="Alternates (2)"/>
      <sheetName val="Comparison Summary - 4"/>
      <sheetName val="Comparison Summary - 5"/>
      <sheetName val="Comparison Summary - 6"/>
      <sheetName val="Comparison Summary - 7"/>
      <sheetName val="Comparison Summary - 1,2,3,8"/>
      <sheetName val="Overall Sitework  Summary"/>
      <sheetName val="Overall Sitework"/>
      <sheetName val="Comparison Summary - Overall"/>
      <sheetName val="Comparison Summary - Overal (2)"/>
    </sheetNames>
    <sheetDataSet>
      <sheetData sheetId="0">
        <row r="4">
          <cell r="I4" t="str">
            <v>Overall Summary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ypes"/>
      <sheetName val="Base slab"/>
      <sheetName val="Bored Pile"/>
      <sheetName val="Deck slab"/>
      <sheetName val="Rc Wall"/>
      <sheetName val="Piled Channel"/>
      <sheetName val="Rc Wall on Piled foundation"/>
      <sheetName val="Lock"/>
      <sheetName val="RC Lock"/>
      <sheetName val="Steel Pile"/>
      <sheetName val="Channel"/>
      <sheetName val="Road"/>
      <sheetName val="Headwall"/>
      <sheetName val="Box Culvert"/>
      <sheetName val="Brick Wall"/>
      <sheetName val="Temp Piles"/>
      <sheetName val="Embankment"/>
      <sheetName val="Rates"/>
      <sheetName val="Blank Bill"/>
      <sheetName val="Lanscape"/>
      <sheetName val="Infrastructure"/>
    </sheetNames>
    <sheetDataSet>
      <sheetData sheetId="0"/>
      <sheetData sheetId="1"/>
      <sheetData sheetId="2"/>
      <sheetData sheetId="3"/>
      <sheetData sheetId="4"/>
      <sheetData sheetId="5">
        <row r="126">
          <cell r="J126" t="str">
            <v>Bentonite</v>
          </cell>
        </row>
        <row r="127">
          <cell r="J127" t="str">
            <v>HDPE</v>
          </cell>
        </row>
        <row r="128">
          <cell r="J128" t="str">
            <v>Puddle Clay 300 mm</v>
          </cell>
        </row>
        <row r="129">
          <cell r="J129" t="str">
            <v>Puddle Clay 500 mm</v>
          </cell>
        </row>
        <row r="130">
          <cell r="J130" t="str">
            <v>Puddle Clay 600 mm</v>
          </cell>
        </row>
      </sheetData>
      <sheetData sheetId="6"/>
      <sheetData sheetId="7"/>
      <sheetData sheetId="8"/>
      <sheetData sheetId="9"/>
      <sheetData sheetId="10"/>
      <sheetData sheetId="11"/>
      <sheetData sheetId="12"/>
      <sheetData sheetId="13"/>
      <sheetData sheetId="14"/>
      <sheetData sheetId="15"/>
      <sheetData sheetId="16"/>
      <sheetData sheetId="17">
        <row r="8">
          <cell r="C8" t="str">
            <v>Post and 4 rail fencing</v>
          </cell>
          <cell r="D8" t="str">
            <v>m</v>
          </cell>
          <cell r="E8">
            <v>20</v>
          </cell>
        </row>
        <row r="11">
          <cell r="C11" t="str">
            <v>Crash barrier (incl terminals)</v>
          </cell>
          <cell r="D11" t="str">
            <v>m</v>
          </cell>
          <cell r="E11">
            <v>50</v>
          </cell>
        </row>
        <row r="14">
          <cell r="C14" t="str">
            <v>Carrier drain (assume 300mm dia average)</v>
          </cell>
          <cell r="D14" t="str">
            <v>m</v>
          </cell>
          <cell r="E14">
            <v>90</v>
          </cell>
        </row>
        <row r="15">
          <cell r="C15" t="str">
            <v>Filter drain (assume 225mm dia average)</v>
          </cell>
          <cell r="D15" t="str">
            <v>no</v>
          </cell>
          <cell r="E15">
            <v>70</v>
          </cell>
        </row>
        <row r="16">
          <cell r="C16" t="str">
            <v>Gully (including connection)</v>
          </cell>
          <cell r="D16" t="str">
            <v>no</v>
          </cell>
          <cell r="E16">
            <v>300</v>
          </cell>
        </row>
        <row r="17">
          <cell r="C17" t="str">
            <v>Chambers</v>
          </cell>
          <cell r="D17" t="str">
            <v>no</v>
          </cell>
          <cell r="E17">
            <v>1500</v>
          </cell>
        </row>
        <row r="18">
          <cell r="C18" t="str">
            <v>Catchpits</v>
          </cell>
          <cell r="D18" t="str">
            <v>no</v>
          </cell>
          <cell r="E18">
            <v>1500</v>
          </cell>
        </row>
        <row r="19">
          <cell r="C19" t="str">
            <v>Back of wall drainage</v>
          </cell>
          <cell r="D19" t="str">
            <v>m2</v>
          </cell>
          <cell r="E19">
            <v>35</v>
          </cell>
        </row>
        <row r="22">
          <cell r="C22" t="str">
            <v>Excavate &amp; dispose</v>
          </cell>
          <cell r="D22" t="str">
            <v>m3</v>
          </cell>
          <cell r="E22">
            <v>30</v>
          </cell>
        </row>
        <row r="23">
          <cell r="C23" t="str">
            <v>Excavate in trench and dispose</v>
          </cell>
          <cell r="D23" t="str">
            <v>m3</v>
          </cell>
          <cell r="E23">
            <v>32.5</v>
          </cell>
        </row>
        <row r="24">
          <cell r="C24" t="str">
            <v>Excavation of topsoil and stockpile</v>
          </cell>
          <cell r="D24" t="str">
            <v>m3</v>
          </cell>
          <cell r="E24">
            <v>3</v>
          </cell>
        </row>
        <row r="25">
          <cell r="C25" t="str">
            <v>Excavation of subsoil and stockpile</v>
          </cell>
          <cell r="D25" t="str">
            <v>m3</v>
          </cell>
          <cell r="E25">
            <v>5.5</v>
          </cell>
        </row>
        <row r="26">
          <cell r="C26" t="str">
            <v>Deposit suitable fill to base of embankment and compact</v>
          </cell>
          <cell r="D26" t="str">
            <v>m3</v>
          </cell>
          <cell r="E26">
            <v>2</v>
          </cell>
        </row>
        <row r="27">
          <cell r="C27" t="str">
            <v>Deposit cohesive material and compact</v>
          </cell>
          <cell r="D27" t="str">
            <v>m3</v>
          </cell>
          <cell r="E27">
            <v>2</v>
          </cell>
        </row>
        <row r="28">
          <cell r="C28" t="str">
            <v>Deposit subsoil from stockpile and compact</v>
          </cell>
          <cell r="D28" t="str">
            <v>m3</v>
          </cell>
          <cell r="E28">
            <v>2.5</v>
          </cell>
        </row>
        <row r="29">
          <cell r="C29" t="str">
            <v>EO deposition for import</v>
          </cell>
          <cell r="D29" t="str">
            <v>m3</v>
          </cell>
          <cell r="E29">
            <v>15</v>
          </cell>
        </row>
        <row r="30">
          <cell r="C30" t="str">
            <v>Imported capping and compact</v>
          </cell>
          <cell r="D30" t="str">
            <v>m3</v>
          </cell>
          <cell r="E30">
            <v>25</v>
          </cell>
        </row>
        <row r="31">
          <cell r="C31" t="str">
            <v>Verge (soil and seed)</v>
          </cell>
          <cell r="D31" t="str">
            <v>m2</v>
          </cell>
          <cell r="E31">
            <v>4</v>
          </cell>
        </row>
        <row r="32">
          <cell r="C32" t="str">
            <v>Soil and seed</v>
          </cell>
          <cell r="D32" t="str">
            <v>m2</v>
          </cell>
          <cell r="E32">
            <v>3.5</v>
          </cell>
        </row>
        <row r="33">
          <cell r="C33" t="str">
            <v>Terram geotextile to base of embankment</v>
          </cell>
          <cell r="D33" t="str">
            <v>m2</v>
          </cell>
          <cell r="E33">
            <v>2.25</v>
          </cell>
        </row>
        <row r="34">
          <cell r="C34" t="str">
            <v>Reno mattress, 300mm deep</v>
          </cell>
          <cell r="D34" t="str">
            <v>m2</v>
          </cell>
          <cell r="E34">
            <v>30</v>
          </cell>
        </row>
        <row r="35">
          <cell r="C35" t="str">
            <v>Imported sand fill</v>
          </cell>
          <cell r="D35" t="str">
            <v>m3</v>
          </cell>
          <cell r="E35">
            <v>29</v>
          </cell>
        </row>
        <row r="36">
          <cell r="C36" t="str">
            <v>Imported Type 1</v>
          </cell>
          <cell r="D36" t="str">
            <v>m3</v>
          </cell>
          <cell r="E36">
            <v>40</v>
          </cell>
        </row>
        <row r="38">
          <cell r="C38" t="str">
            <v>Excavate existing embankment, stockpile/deposit (X%), dispose/import (Y%) and compact</v>
          </cell>
          <cell r="D38" t="str">
            <v>m3</v>
          </cell>
          <cell r="E38">
            <v>27.25</v>
          </cell>
        </row>
        <row r="41">
          <cell r="C41" t="str">
            <v>Sub base (granular type 1)</v>
          </cell>
          <cell r="D41" t="str">
            <v>m3</v>
          </cell>
          <cell r="E41">
            <v>30</v>
          </cell>
        </row>
        <row r="42">
          <cell r="C42" t="str">
            <v>Road base</v>
          </cell>
          <cell r="D42" t="str">
            <v>m3</v>
          </cell>
          <cell r="E42">
            <v>110</v>
          </cell>
        </row>
        <row r="43">
          <cell r="C43" t="str">
            <v>Base course</v>
          </cell>
          <cell r="D43" t="str">
            <v>m3</v>
          </cell>
          <cell r="E43">
            <v>130</v>
          </cell>
        </row>
        <row r="44">
          <cell r="C44" t="str">
            <v>Wearing course</v>
          </cell>
          <cell r="D44" t="str">
            <v>m3</v>
          </cell>
          <cell r="E44">
            <v>150</v>
          </cell>
        </row>
        <row r="46">
          <cell r="C46" t="str">
            <v>Pavement comprising A mm wearing course, B mm base course, C mm roadbase on D mm sub-base</v>
          </cell>
          <cell r="D46" t="str">
            <v>m2</v>
          </cell>
          <cell r="E46">
            <v>8.1999999999999993</v>
          </cell>
        </row>
        <row r="49">
          <cell r="C49" t="str">
            <v>Kerbing</v>
          </cell>
          <cell r="D49" t="str">
            <v>m</v>
          </cell>
          <cell r="E49">
            <v>15</v>
          </cell>
        </row>
        <row r="50">
          <cell r="C50" t="str">
            <v>Footpath (flexible construction)</v>
          </cell>
          <cell r="D50" t="str">
            <v>m2</v>
          </cell>
          <cell r="E50">
            <v>25</v>
          </cell>
        </row>
        <row r="51">
          <cell r="C51" t="str">
            <v>Access road/track to berm of embankment</v>
          </cell>
          <cell r="D51" t="str">
            <v>m2</v>
          </cell>
          <cell r="E51">
            <v>30</v>
          </cell>
        </row>
        <row r="52">
          <cell r="C52" t="str">
            <v>Precast concrete paving blocks</v>
          </cell>
          <cell r="D52" t="str">
            <v>m2</v>
          </cell>
          <cell r="E52">
            <v>25</v>
          </cell>
        </row>
        <row r="53">
          <cell r="C53" t="str">
            <v>Precast concrete blocks</v>
          </cell>
          <cell r="D53" t="str">
            <v>m2</v>
          </cell>
          <cell r="E53">
            <v>25</v>
          </cell>
        </row>
        <row r="56">
          <cell r="C56" t="str">
            <v>Lighting (incl cabling)</v>
          </cell>
          <cell r="D56" t="str">
            <v>no</v>
          </cell>
          <cell r="E56">
            <v>1200</v>
          </cell>
        </row>
        <row r="59">
          <cell r="C59" t="str">
            <v>Establishment of piling plant for cast-in-place piles</v>
          </cell>
          <cell r="D59" t="str">
            <v>it</v>
          </cell>
          <cell r="E59">
            <v>10000</v>
          </cell>
        </row>
        <row r="60">
          <cell r="C60" t="str">
            <v>Moving piling plant for cast-in-place piles</v>
          </cell>
          <cell r="D60" t="str">
            <v>no</v>
          </cell>
          <cell r="E60">
            <v>50</v>
          </cell>
        </row>
        <row r="61">
          <cell r="C61" t="str">
            <v xml:space="preserve">Vertical cast-in-place piles  </v>
          </cell>
          <cell r="D61" t="str">
            <v>m3</v>
          </cell>
          <cell r="E61">
            <v>150</v>
          </cell>
        </row>
        <row r="62">
          <cell r="C62" t="str">
            <v>Establishment of piling plant for driving and extracting steel sheet piles</v>
          </cell>
          <cell r="D62" t="str">
            <v>it</v>
          </cell>
          <cell r="E62">
            <v>6000</v>
          </cell>
        </row>
        <row r="63">
          <cell r="C63" t="str">
            <v>Drive and extract Type 2N steel sheet piles</v>
          </cell>
          <cell r="D63" t="str">
            <v>m2</v>
          </cell>
          <cell r="E63">
            <v>45</v>
          </cell>
        </row>
        <row r="64">
          <cell r="C64" t="str">
            <v>Sheet Piles (Arcelor)</v>
          </cell>
        </row>
        <row r="65">
          <cell r="C65" t="str">
            <v>PU6</v>
          </cell>
          <cell r="D65" t="str">
            <v>m2</v>
          </cell>
          <cell r="E65">
            <v>128</v>
          </cell>
        </row>
        <row r="66">
          <cell r="C66" t="str">
            <v>PU8</v>
          </cell>
          <cell r="D66" t="str">
            <v>m2</v>
          </cell>
          <cell r="E66">
            <v>140</v>
          </cell>
        </row>
        <row r="67">
          <cell r="C67" t="str">
            <v>PU12</v>
          </cell>
          <cell r="D67" t="str">
            <v>m2</v>
          </cell>
          <cell r="E67">
            <v>156</v>
          </cell>
        </row>
        <row r="68">
          <cell r="C68" t="str">
            <v>PU18</v>
          </cell>
          <cell r="D68" t="str">
            <v>m2</v>
          </cell>
          <cell r="E68">
            <v>171</v>
          </cell>
        </row>
        <row r="69">
          <cell r="C69" t="str">
            <v>PU22</v>
          </cell>
          <cell r="D69" t="str">
            <v>m2</v>
          </cell>
          <cell r="E69">
            <v>185</v>
          </cell>
        </row>
        <row r="70">
          <cell r="C70" t="str">
            <v>PU25</v>
          </cell>
          <cell r="D70" t="str">
            <v>m2</v>
          </cell>
          <cell r="E70">
            <v>193</v>
          </cell>
        </row>
        <row r="71">
          <cell r="C71" t="str">
            <v>PU32</v>
          </cell>
          <cell r="D71" t="str">
            <v>m2</v>
          </cell>
          <cell r="E71">
            <v>225</v>
          </cell>
        </row>
        <row r="72">
          <cell r="C72" t="str">
            <v>AU14</v>
          </cell>
          <cell r="D72" t="str">
            <v>m2</v>
          </cell>
          <cell r="E72">
            <v>150</v>
          </cell>
        </row>
        <row r="73">
          <cell r="C73" t="str">
            <v>AU16</v>
          </cell>
          <cell r="D73" t="str">
            <v>m2</v>
          </cell>
          <cell r="E73">
            <v>159</v>
          </cell>
        </row>
        <row r="74">
          <cell r="C74" t="str">
            <v>AU18</v>
          </cell>
          <cell r="D74" t="str">
            <v>m2</v>
          </cell>
          <cell r="E74">
            <v>162</v>
          </cell>
        </row>
        <row r="75">
          <cell r="C75" t="str">
            <v>AU20</v>
          </cell>
          <cell r="D75" t="str">
            <v>m2</v>
          </cell>
          <cell r="E75">
            <v>172</v>
          </cell>
        </row>
        <row r="76">
          <cell r="C76" t="str">
            <v>AU25</v>
          </cell>
          <cell r="D76" t="str">
            <v>m2</v>
          </cell>
          <cell r="E76">
            <v>188</v>
          </cell>
        </row>
        <row r="77">
          <cell r="C77" t="str">
            <v>AZ12</v>
          </cell>
          <cell r="D77" t="str">
            <v>m2</v>
          </cell>
          <cell r="E77">
            <v>148</v>
          </cell>
        </row>
        <row r="78">
          <cell r="C78" t="str">
            <v>AZ13</v>
          </cell>
          <cell r="D78" t="str">
            <v>m2</v>
          </cell>
          <cell r="E78">
            <v>153</v>
          </cell>
        </row>
        <row r="79">
          <cell r="C79" t="str">
            <v>AZ14</v>
          </cell>
          <cell r="D79" t="str">
            <v>m2</v>
          </cell>
          <cell r="E79">
            <v>161</v>
          </cell>
        </row>
        <row r="80">
          <cell r="C80" t="str">
            <v>AZ18</v>
          </cell>
          <cell r="D80" t="str">
            <v>m2</v>
          </cell>
          <cell r="E80">
            <v>162</v>
          </cell>
        </row>
        <row r="81">
          <cell r="C81" t="str">
            <v>AZ25</v>
          </cell>
          <cell r="D81" t="str">
            <v>m2</v>
          </cell>
          <cell r="E81">
            <v>182</v>
          </cell>
        </row>
        <row r="82">
          <cell r="C82" t="str">
            <v>AZ34</v>
          </cell>
          <cell r="D82" t="str">
            <v>m2</v>
          </cell>
          <cell r="E82">
            <v>218</v>
          </cell>
        </row>
        <row r="83">
          <cell r="C83" t="str">
            <v>AZ38</v>
          </cell>
          <cell r="D83" t="str">
            <v>m2</v>
          </cell>
          <cell r="E83">
            <v>240</v>
          </cell>
        </row>
        <row r="84">
          <cell r="C84" t="str">
            <v>AZ46</v>
          </cell>
          <cell r="D84" t="str">
            <v>m2</v>
          </cell>
          <cell r="E84">
            <v>264</v>
          </cell>
        </row>
        <row r="85">
          <cell r="C85" t="str">
            <v>AZ50</v>
          </cell>
          <cell r="D85" t="str">
            <v>m2</v>
          </cell>
          <cell r="E85">
            <v>288</v>
          </cell>
        </row>
        <row r="88">
          <cell r="C88" t="str">
            <v>Concrete C15 in blinding layer</v>
          </cell>
          <cell r="D88" t="str">
            <v>m3</v>
          </cell>
          <cell r="E88">
            <v>105</v>
          </cell>
        </row>
        <row r="89">
          <cell r="C89" t="str">
            <v>Mass concrete Fill</v>
          </cell>
          <cell r="D89" t="str">
            <v>m3</v>
          </cell>
          <cell r="E89">
            <v>110</v>
          </cell>
        </row>
        <row r="90">
          <cell r="C90" t="str">
            <v>Concrete Class S15 in blinding</v>
          </cell>
          <cell r="D90" t="str">
            <v>m3</v>
          </cell>
          <cell r="E90">
            <v>105</v>
          </cell>
        </row>
        <row r="91">
          <cell r="C91" t="str">
            <v>Concrete Class S15 in blinding to structural foundations</v>
          </cell>
          <cell r="D91" t="str">
            <v>m3</v>
          </cell>
          <cell r="E91">
            <v>105</v>
          </cell>
        </row>
        <row r="92">
          <cell r="C92" t="str">
            <v>Concrete Class S30/20 in structure</v>
          </cell>
          <cell r="D92" t="str">
            <v>m3</v>
          </cell>
          <cell r="E92">
            <v>110</v>
          </cell>
        </row>
        <row r="93">
          <cell r="C93" t="str">
            <v>Structural concrete C40 in base slab</v>
          </cell>
          <cell r="D93" t="str">
            <v>m3</v>
          </cell>
          <cell r="E93">
            <v>120</v>
          </cell>
        </row>
        <row r="94">
          <cell r="C94" t="str">
            <v>Structural concrete C40 in walls</v>
          </cell>
          <cell r="D94" t="str">
            <v>m3</v>
          </cell>
          <cell r="E94">
            <v>120</v>
          </cell>
        </row>
        <row r="95">
          <cell r="C95" t="str">
            <v>Concrete Class C40/20 in structural slab</v>
          </cell>
          <cell r="D95" t="str">
            <v>m3</v>
          </cell>
          <cell r="E95">
            <v>120</v>
          </cell>
        </row>
        <row r="96">
          <cell r="C96" t="str">
            <v>Concrete Class S40/20 in structure</v>
          </cell>
          <cell r="D96" t="str">
            <v>m3</v>
          </cell>
          <cell r="E96">
            <v>120</v>
          </cell>
        </row>
        <row r="97">
          <cell r="C97" t="str">
            <v>Concrete Class C40/20 in structural foundations</v>
          </cell>
          <cell r="D97" t="str">
            <v>m3</v>
          </cell>
          <cell r="E97">
            <v>130</v>
          </cell>
        </row>
        <row r="98">
          <cell r="C98" t="str">
            <v>Concrete Class C40/20 in Rc wall</v>
          </cell>
          <cell r="D98" t="str">
            <v>m3</v>
          </cell>
          <cell r="E98">
            <v>120</v>
          </cell>
        </row>
        <row r="100">
          <cell r="C100" t="str">
            <v>F1 formwork - vertical</v>
          </cell>
          <cell r="D100" t="str">
            <v>m2</v>
          </cell>
          <cell r="E100">
            <v>45</v>
          </cell>
        </row>
        <row r="101">
          <cell r="C101" t="str">
            <v>Vertical formwork Class F1</v>
          </cell>
          <cell r="D101" t="str">
            <v>m2</v>
          </cell>
          <cell r="E101">
            <v>45</v>
          </cell>
        </row>
        <row r="102">
          <cell r="C102" t="str">
            <v>F2 formwork - vertical</v>
          </cell>
          <cell r="D102" t="str">
            <v>m2</v>
          </cell>
          <cell r="E102">
            <v>50</v>
          </cell>
        </row>
        <row r="103">
          <cell r="C103" t="str">
            <v>Vertical formwork Class F2</v>
          </cell>
          <cell r="D103" t="str">
            <v>m2</v>
          </cell>
          <cell r="E103">
            <v>74</v>
          </cell>
        </row>
        <row r="104">
          <cell r="C104" t="str">
            <v xml:space="preserve">Horizontal formwork Class F2 to soffit of deck </v>
          </cell>
          <cell r="D104" t="str">
            <v>m2</v>
          </cell>
          <cell r="E104">
            <v>75</v>
          </cell>
        </row>
        <row r="105">
          <cell r="C105" t="str">
            <v>Soffit formwork Class F2</v>
          </cell>
          <cell r="D105" t="str">
            <v>m2</v>
          </cell>
          <cell r="E105">
            <v>75</v>
          </cell>
        </row>
        <row r="107">
          <cell r="C107" t="str">
            <v xml:space="preserve">Bar reinforcement =&lt;16mm </v>
          </cell>
          <cell r="D107" t="str">
            <v>tn</v>
          </cell>
          <cell r="E107">
            <v>1335</v>
          </cell>
        </row>
        <row r="108">
          <cell r="C108" t="str">
            <v xml:space="preserve">Bar reinforcement =&gt;20mm </v>
          </cell>
          <cell r="D108" t="str">
            <v>tn</v>
          </cell>
          <cell r="E108">
            <v>1090</v>
          </cell>
        </row>
        <row r="109">
          <cell r="C109" t="str">
            <v>Reinforcement to foundation</v>
          </cell>
          <cell r="D109" t="str">
            <v>tn</v>
          </cell>
          <cell r="E109">
            <v>1025</v>
          </cell>
        </row>
        <row r="110">
          <cell r="C110" t="str">
            <v>Helical bar reinforcement in columns</v>
          </cell>
          <cell r="D110" t="str">
            <v>tn</v>
          </cell>
          <cell r="E110">
            <v>1300</v>
          </cell>
        </row>
        <row r="112">
          <cell r="C112" t="str">
            <v>Parapet railing</v>
          </cell>
          <cell r="D112" t="str">
            <v>m</v>
          </cell>
          <cell r="E112">
            <v>150</v>
          </cell>
        </row>
        <row r="115">
          <cell r="C115" t="str">
            <v>Vertical waterproofing</v>
          </cell>
          <cell r="D115" t="str">
            <v>m2</v>
          </cell>
          <cell r="E115">
            <v>7.5</v>
          </cell>
        </row>
        <row r="116">
          <cell r="C116" t="str">
            <v>Horizontal waterproofing (including red sand protection)</v>
          </cell>
          <cell r="D116" t="str">
            <v>m2</v>
          </cell>
          <cell r="E116">
            <v>30</v>
          </cell>
        </row>
        <row r="119">
          <cell r="C119" t="str">
            <v>Brick facing</v>
          </cell>
          <cell r="D119" t="str">
            <v>m2</v>
          </cell>
          <cell r="E119">
            <v>88</v>
          </cell>
        </row>
        <row r="120">
          <cell r="C120" t="str">
            <v>Brick facing to walls</v>
          </cell>
          <cell r="D120" t="str">
            <v>m2</v>
          </cell>
          <cell r="E120">
            <v>75</v>
          </cell>
        </row>
        <row r="121">
          <cell r="C121" t="str">
            <v>Engineering brickwork (below dpc)</v>
          </cell>
          <cell r="D121" t="str">
            <v>m3</v>
          </cell>
          <cell r="E121">
            <v>350</v>
          </cell>
        </row>
        <row r="122">
          <cell r="C122" t="str">
            <v>Facing/common brickwork (above dpc)</v>
          </cell>
          <cell r="D122" t="str">
            <v>m3</v>
          </cell>
          <cell r="E122">
            <v>400</v>
          </cell>
        </row>
        <row r="123">
          <cell r="C123" t="str">
            <v>Coping</v>
          </cell>
          <cell r="D123" t="str">
            <v>m</v>
          </cell>
          <cell r="E123">
            <v>70</v>
          </cell>
        </row>
        <row r="126">
          <cell r="C126" t="str">
            <v>Bentonite</v>
          </cell>
          <cell r="D126" t="str">
            <v>m2</v>
          </cell>
          <cell r="E126">
            <v>7</v>
          </cell>
        </row>
        <row r="127">
          <cell r="C127" t="str">
            <v>HDPE</v>
          </cell>
          <cell r="D127" t="str">
            <v>m2</v>
          </cell>
          <cell r="E127">
            <v>10</v>
          </cell>
        </row>
        <row r="128">
          <cell r="C128" t="str">
            <v>Puddle Clay 300 mm</v>
          </cell>
          <cell r="D128" t="str">
            <v>m2</v>
          </cell>
          <cell r="E128">
            <v>15</v>
          </cell>
        </row>
        <row r="129">
          <cell r="C129" t="str">
            <v>Puddle Clay 500 mm</v>
          </cell>
          <cell r="D129" t="str">
            <v>m2</v>
          </cell>
          <cell r="E129">
            <v>25</v>
          </cell>
        </row>
        <row r="130">
          <cell r="C130" t="str">
            <v>Puddle Clay 600 mm</v>
          </cell>
          <cell r="D130" t="str">
            <v>m2</v>
          </cell>
          <cell r="E130">
            <v>30</v>
          </cell>
        </row>
      </sheetData>
      <sheetData sheetId="18"/>
      <sheetData sheetId="19"/>
      <sheetData sheetId="2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Cover"/>
      <sheetName val="Rev"/>
      <sheetName val="MainSum"/>
      <sheetName val="FacSum"/>
      <sheetName val="ShellSum"/>
      <sheetName val="FitOutSum"/>
      <sheetName val="ServSum"/>
      <sheetName val="ExtSum"/>
      <sheetName val="PlantSum"/>
      <sheetName val="Demo"/>
      <sheetName val="Earth"/>
      <sheetName val="Subst"/>
      <sheetName val="Frame"/>
      <sheetName val="UpFlr"/>
      <sheetName val="Stair"/>
      <sheetName val="Roof"/>
      <sheetName val="ExtWall"/>
      <sheetName val="ExtW&amp;D"/>
      <sheetName val="IntWall"/>
      <sheetName val="IntDr"/>
      <sheetName val="WallFin"/>
      <sheetName val="FlrFin"/>
      <sheetName val="ClgFin"/>
      <sheetName val="FFE"/>
      <sheetName val="San"/>
      <sheetName val="BWIC"/>
      <sheetName val="M-Plant"/>
      <sheetName val="Heat"/>
      <sheetName val="V&amp;AC"/>
      <sheetName val="PipeD"/>
      <sheetName val="PipeS"/>
      <sheetName val="Prot"/>
      <sheetName val="Elec"/>
      <sheetName val="Comms"/>
      <sheetName val="Lift"/>
      <sheetName val="ServAncil"/>
      <sheetName val="ExtHard"/>
      <sheetName val="ExtSoft"/>
      <sheetName val="Drain"/>
      <sheetName val="ExtServ"/>
      <sheetName val="ExtFurn"/>
      <sheetName val="Fence"/>
      <sheetName val="AncilBldg"/>
      <sheetName val="Prelim"/>
      <sheetName val="BuEq"/>
      <sheetName val="PrEq"/>
      <sheetName val="PalEq"/>
      <sheetName val="PrDisp"/>
      <sheetName val="PrSup"/>
      <sheetName val="PrElec"/>
      <sheetName val="WhEq"/>
      <sheetName val="OffEq"/>
      <sheetName val="RelEq"/>
      <sheetName val="Fee"/>
      <sheetName val="Risk"/>
      <sheetName val="Infl"/>
      <sheetName val="Intro Template BroadLine"/>
      <sheetName val="Intro Template NarrowLine"/>
      <sheetName val="Summary Template"/>
      <sheetName val="Element Template"/>
      <sheetName val="NameTable"/>
      <sheetName val="MacroData"/>
      <sheetName val="LookUp"/>
      <sheetName val="DimTemplate"/>
      <sheetName val="Read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3">
          <cell r="I103">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 Do List"/>
      <sheetName val="Selection"/>
      <sheetName val="Level 1"/>
      <sheetName val="Level 2"/>
      <sheetName val="Level 3"/>
      <sheetName val="Weight Conversion"/>
      <sheetName val="Average Rates"/>
      <sheetName val="User"/>
      <sheetName val="CO2 User Note"/>
      <sheetName val="Co2 Base Data"/>
      <sheetName val="Co2 Types"/>
      <sheetName val="L&amp;P Co2"/>
      <sheetName val="Mass Haul"/>
      <sheetName val="Scheme Co2"/>
      <sheetName val="Types"/>
      <sheetName val="A"/>
      <sheetName val="B"/>
      <sheetName val="C"/>
      <sheetName val="D"/>
      <sheetName val="E"/>
      <sheetName val="F"/>
      <sheetName val="G"/>
      <sheetName val="H"/>
      <sheetName val="I"/>
      <sheetName val="J"/>
      <sheetName val="K"/>
      <sheetName val="L"/>
      <sheetName val="M"/>
      <sheetName val="Road"/>
      <sheetName val="R"/>
      <sheetName val="Structure"/>
      <sheetName val="S"/>
      <sheetName val="Track"/>
      <sheetName val="T"/>
      <sheetName val="Blank Bill"/>
      <sheetName val="Flow Chart"/>
      <sheetName val="Charts"/>
      <sheetName val="Co2 Comparison"/>
      <sheetName val="Cover"/>
      <sheetName val="Rev"/>
      <sheetName val="Intro"/>
      <sheetName val="Grand Summary"/>
      <sheetName val="Series 200"/>
      <sheetName val="Series 300"/>
      <sheetName val="Series 500"/>
      <sheetName val="Series 600"/>
      <sheetName val="Series 700"/>
      <sheetName val="Series 1100"/>
      <sheetName val="Series 1200"/>
      <sheetName val="Series 1400"/>
      <sheetName val="Route Militaire Dims"/>
      <sheetName val="Earthwork Quants"/>
      <sheetName val="Traffic Signals"/>
    </sheetNames>
    <sheetDataSet>
      <sheetData sheetId="0"/>
      <sheetData sheetId="1">
        <row r="5">
          <cell r="D5" t="str">
            <v>&lt;Select&gt;</v>
          </cell>
        </row>
        <row r="6">
          <cell r="D6" t="str">
            <v>Sub-Base</v>
          </cell>
        </row>
        <row r="7">
          <cell r="D7" t="str">
            <v>Pavement</v>
          </cell>
        </row>
        <row r="8">
          <cell r="D8" t="str">
            <v>Regulating Course</v>
          </cell>
        </row>
        <row r="9">
          <cell r="D9" t="str">
            <v>Surface Treatment</v>
          </cell>
        </row>
        <row r="10">
          <cell r="D10" t="str">
            <v>Tack Coat</v>
          </cell>
        </row>
        <row r="11">
          <cell r="D11" t="str">
            <v>Cold Milling (Planing)</v>
          </cell>
        </row>
        <row r="12">
          <cell r="D12" t="str">
            <v>Insitu Recycling - The Remix and Repave Process</v>
          </cell>
        </row>
        <row r="13">
          <cell r="D13" t="str">
            <v>Reinstatement of Paved Areas</v>
          </cell>
        </row>
        <row r="14">
          <cell r="D14" t="str">
            <v>Thin Bonded Repairs and Joint Repairs to Existing Concrete Carriageway</v>
          </cell>
        </row>
        <row r="15">
          <cell r="D15" t="str">
            <v>Full Depth Repairs and Bay Replacement Repairs to Existing Concrete Carriageway</v>
          </cell>
        </row>
        <row r="16">
          <cell r="D16" t="str">
            <v>Saw Cutting, Cracking and Seating Existing Jointed Reinforced Concrete Pavements</v>
          </cell>
        </row>
        <row r="17">
          <cell r="D17" t="str">
            <v>Cracking and Seating Existing Jointed Unreinforced Concrete Pavements and CBM Bases</v>
          </cell>
        </row>
        <row r="18">
          <cell r="D18" t="str">
            <v>Overbanding and Inlaid Crack Sealing Repair Systems</v>
          </cell>
        </row>
        <row r="19">
          <cell r="D19" t="str">
            <v>Maintenance of Arrestor Beds</v>
          </cell>
        </row>
        <row r="20">
          <cell r="D20" t="str">
            <v>Repairs and Patching</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52">
          <cell r="D52" t="str">
            <v>&lt;Select&gt;</v>
          </cell>
        </row>
        <row r="53">
          <cell r="D53" t="str">
            <v>Stone mastic asphalt with 6mm aggregate basecourse regulating course.</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sheetData>
      <sheetData sheetId="2">
        <row r="4">
          <cell r="B4" t="str">
            <v>Series_000</v>
          </cell>
          <cell r="C4" t="str">
            <v>&lt;Select&gt;</v>
          </cell>
        </row>
        <row r="5">
          <cell r="B5" t="str">
            <v>Series_100</v>
          </cell>
          <cell r="C5" t="str">
            <v>Preliminaries</v>
          </cell>
        </row>
        <row r="6">
          <cell r="B6" t="str">
            <v>Series_200</v>
          </cell>
          <cell r="C6" t="str">
            <v>Site Clearance</v>
          </cell>
        </row>
        <row r="7">
          <cell r="B7" t="str">
            <v>Series_300</v>
          </cell>
          <cell r="C7" t="str">
            <v>Fencing</v>
          </cell>
        </row>
        <row r="8">
          <cell r="B8" t="str">
            <v>Series_400</v>
          </cell>
          <cell r="C8" t="str">
            <v>Road Restraint Systems</v>
          </cell>
        </row>
        <row r="9">
          <cell r="B9" t="str">
            <v>Series_500</v>
          </cell>
          <cell r="C9" t="str">
            <v>Drainage and Service Ducts</v>
          </cell>
        </row>
        <row r="10">
          <cell r="B10" t="str">
            <v>Series_600</v>
          </cell>
          <cell r="C10" t="str">
            <v>Earthworks</v>
          </cell>
        </row>
        <row r="11">
          <cell r="B11" t="str">
            <v>Series_700</v>
          </cell>
          <cell r="C11" t="str">
            <v>Pavements</v>
          </cell>
        </row>
        <row r="12">
          <cell r="B12" t="str">
            <v>Series_1100</v>
          </cell>
          <cell r="C12" t="str">
            <v>Kerbs, Footways and Paved Areas</v>
          </cell>
        </row>
        <row r="13">
          <cell r="B13" t="str">
            <v>Series_1200</v>
          </cell>
          <cell r="C13" t="str">
            <v>Traffic Signs and Road Markings</v>
          </cell>
        </row>
        <row r="14">
          <cell r="B14" t="str">
            <v>Series_1300</v>
          </cell>
          <cell r="C14" t="str">
            <v>Road Lighting Columns and Brackets, CCTV Masts and Cantilever Masts</v>
          </cell>
        </row>
        <row r="15">
          <cell r="B15" t="str">
            <v>Series_1400</v>
          </cell>
          <cell r="C15" t="str">
            <v>Electrical Work for Road Lighting and Traffic Signs</v>
          </cell>
        </row>
        <row r="16">
          <cell r="B16" t="str">
            <v>Series_1500</v>
          </cell>
          <cell r="C16" t="str">
            <v>Motorway Communications</v>
          </cell>
        </row>
        <row r="17">
          <cell r="B17" t="str">
            <v>Series_1600</v>
          </cell>
          <cell r="C17" t="str">
            <v>Piling and Embedded Retaining Walls</v>
          </cell>
        </row>
        <row r="18">
          <cell r="B18" t="str">
            <v>Series_1700</v>
          </cell>
          <cell r="C18" t="str">
            <v>Structural Concrete</v>
          </cell>
        </row>
        <row r="19">
          <cell r="B19" t="str">
            <v>Series_1800</v>
          </cell>
          <cell r="C19" t="str">
            <v>Steelwork for Structures</v>
          </cell>
        </row>
        <row r="20">
          <cell r="B20" t="str">
            <v>Series_1900</v>
          </cell>
          <cell r="C20" t="str">
            <v>Protection of Steelwork Against Corrosion</v>
          </cell>
        </row>
        <row r="21">
          <cell r="B21" t="str">
            <v>Series_2000</v>
          </cell>
          <cell r="C21" t="str">
            <v>Waterproofing for Structures</v>
          </cell>
        </row>
        <row r="22">
          <cell r="B22" t="str">
            <v>Series_2100</v>
          </cell>
          <cell r="C22" t="str">
            <v>Bridge Bearings</v>
          </cell>
        </row>
        <row r="23">
          <cell r="B23" t="str">
            <v>Series_2300</v>
          </cell>
          <cell r="C23" t="str">
            <v>Bridge Expansion Joints and Sealing of Gaps</v>
          </cell>
        </row>
        <row r="24">
          <cell r="B24" t="str">
            <v>Series_2400</v>
          </cell>
          <cell r="C24" t="str">
            <v>Brickwork, Blockwork and Stonework</v>
          </cell>
        </row>
        <row r="25">
          <cell r="B25" t="str">
            <v>Series_2500</v>
          </cell>
          <cell r="C25" t="str">
            <v>Special Structures</v>
          </cell>
        </row>
        <row r="26">
          <cell r="B26" t="str">
            <v>Series_2700</v>
          </cell>
          <cell r="C26" t="str">
            <v>Accommodation Works, Works for Statutory Undertakers, Provisional Sums and Prime Cost Items</v>
          </cell>
        </row>
        <row r="27">
          <cell r="B27" t="str">
            <v>Series_3000</v>
          </cell>
          <cell r="C27" t="str">
            <v>Landscape and Ecology</v>
          </cell>
        </row>
        <row r="28">
          <cell r="B28" t="str">
            <v>Series_5000</v>
          </cell>
          <cell r="C28" t="str">
            <v>Maintenance Painting of Steelwork</v>
          </cell>
        </row>
        <row r="29">
          <cell r="B29" t="str">
            <v>Series_9000</v>
          </cell>
          <cell r="C29" t="str">
            <v>Railway Works</v>
          </cell>
        </row>
      </sheetData>
      <sheetData sheetId="3"/>
      <sheetData sheetId="4">
        <row r="2">
          <cell r="G2" t="str">
            <v>Descriptions</v>
          </cell>
          <cell r="I2" t="str">
            <v>Rates</v>
          </cell>
          <cell r="O2" t="str">
            <v>Kg per unit</v>
          </cell>
        </row>
        <row r="4">
          <cell r="G4" t="str">
            <v>Cells showing thus indicate duplication. 
Item descriptions have to be unique. Amend text</v>
          </cell>
          <cell r="I4" t="str">
            <v>Minimum</v>
          </cell>
          <cell r="K4" t="str">
            <v>Likely</v>
          </cell>
          <cell r="M4" t="str">
            <v>Spon's 2009</v>
          </cell>
          <cell r="O4" t="str">
            <v>Total CO2</v>
          </cell>
          <cell r="Q4" t="str">
            <v>Embodied CO2</v>
          </cell>
          <cell r="S4" t="str">
            <v>Transport CO2</v>
          </cell>
          <cell r="U4" t="str">
            <v>L&amp;P 
CO2</v>
          </cell>
          <cell r="W4" t="str">
            <v>Total Weight of material</v>
          </cell>
        </row>
        <row r="6">
          <cell r="S6">
            <v>1.3200000000000001E-4</v>
          </cell>
        </row>
        <row r="15">
          <cell r="G15" t="str">
            <v>&lt;Select&gt;</v>
          </cell>
        </row>
        <row r="19">
          <cell r="G19" t="str">
            <v>&lt;Select&gt;</v>
          </cell>
        </row>
        <row r="21">
          <cell r="G21" t="str">
            <v>&lt;Select&gt;</v>
          </cell>
        </row>
        <row r="22">
          <cell r="G22" t="str">
            <v>Erection of principal offices Type A  for the Overseeing Organisation</v>
          </cell>
          <cell r="H22" t="str">
            <v>item</v>
          </cell>
          <cell r="I22">
            <v>13173.56805041</v>
          </cell>
          <cell r="K22">
            <v>15032.846323937103</v>
          </cell>
        </row>
        <row r="23">
          <cell r="G23" t="str">
            <v>Erection of principal offices Type B  for the Overseeing Organisation</v>
          </cell>
          <cell r="H23" t="str">
            <v>item</v>
          </cell>
          <cell r="I23">
            <v>10573.513645629377</v>
          </cell>
          <cell r="K23">
            <v>12093.83158925709</v>
          </cell>
        </row>
        <row r="24">
          <cell r="G24" t="str">
            <v>Erection of principal offices Type C  for the Overseeing Organisation</v>
          </cell>
          <cell r="H24" t="str">
            <v>item</v>
          </cell>
          <cell r="I24">
            <v>5415.0891309768749</v>
          </cell>
          <cell r="K24">
            <v>6014.1487894930469</v>
          </cell>
        </row>
        <row r="25">
          <cell r="G25" t="str">
            <v>Servicing of principal offices Type A for the Overseeing Organisation until completion of the works.</v>
          </cell>
          <cell r="H25" t="str">
            <v>wk</v>
          </cell>
          <cell r="I25">
            <v>653.17788715624999</v>
          </cell>
          <cell r="K25">
            <v>690.79595920843167</v>
          </cell>
        </row>
        <row r="26">
          <cell r="G26" t="str">
            <v>Servicing of principal offices Type B for the Overseeing Organisation until completion of the works.</v>
          </cell>
          <cell r="H26" t="str">
            <v>wk</v>
          </cell>
          <cell r="I26">
            <v>551.970837125</v>
          </cell>
          <cell r="K26">
            <v>581.47732171490748</v>
          </cell>
        </row>
        <row r="27">
          <cell r="G27" t="str">
            <v>Servicing of principal offices Type C for the Overseeing Organisation until completion of the works.</v>
          </cell>
          <cell r="H27" t="str">
            <v>wk</v>
          </cell>
          <cell r="I27">
            <v>464.90612260312497</v>
          </cell>
          <cell r="K27">
            <v>503.04668060389929</v>
          </cell>
        </row>
        <row r="28">
          <cell r="G28" t="str">
            <v>Servicing of principal offices Type A for the Overseeing Organisation after completion of the works.</v>
          </cell>
          <cell r="H28" t="str">
            <v>wk</v>
          </cell>
          <cell r="I28">
            <v>681.93279340624997</v>
          </cell>
          <cell r="K28">
            <v>724.28702977162868</v>
          </cell>
        </row>
        <row r="29">
          <cell r="G29" t="str">
            <v>Servicing of principal offices Type B for the Overseeing Organisation after completion of the works.</v>
          </cell>
          <cell r="H29" t="str">
            <v>wk</v>
          </cell>
          <cell r="I29">
            <v>567.64499437500001</v>
          </cell>
          <cell r="K29">
            <v>598.28140102403654</v>
          </cell>
        </row>
        <row r="30">
          <cell r="G30" t="str">
            <v>Servicing of principal offices Type C for the Overseeing Organisation after completion of the works.</v>
          </cell>
          <cell r="H30" t="str">
            <v>wk</v>
          </cell>
          <cell r="I30">
            <v>460.40345710312499</v>
          </cell>
          <cell r="K30">
            <v>495.67379131559062</v>
          </cell>
        </row>
        <row r="31">
          <cell r="G31" t="str">
            <v>Dismantling of principal offices Type A for the Overseeing Organisation.</v>
          </cell>
          <cell r="H31" t="str">
            <v>item</v>
          </cell>
          <cell r="I31">
            <v>1417.4402840343751</v>
          </cell>
          <cell r="K31">
            <v>1629.2141500790672</v>
          </cell>
        </row>
        <row r="32">
          <cell r="G32" t="str">
            <v>Dismantling of principal offices Type B for the Overseeing Organisation.</v>
          </cell>
          <cell r="H32" t="str">
            <v>item</v>
          </cell>
          <cell r="I32">
            <v>1074.0025404825001</v>
          </cell>
          <cell r="K32">
            <v>1255.4353418502731</v>
          </cell>
        </row>
        <row r="33">
          <cell r="G33" t="str">
            <v>Dismantling of principal offices Type C for the Overseeing Organisation.</v>
          </cell>
          <cell r="H33" t="str">
            <v>item</v>
          </cell>
          <cell r="I33">
            <v>431.53878420499996</v>
          </cell>
          <cell r="K33">
            <v>473.86239649658518</v>
          </cell>
        </row>
        <row r="34">
          <cell r="G34" t="str">
            <v>Erection of offices and messes for the Contractor, total Task Order value not exceeding £1,000,000 excluding VAT.</v>
          </cell>
          <cell r="H34" t="str">
            <v>item</v>
          </cell>
          <cell r="I34">
            <v>14649.164705193749</v>
          </cell>
          <cell r="K34">
            <v>15671.185193925889</v>
          </cell>
        </row>
        <row r="35">
          <cell r="G35" t="str">
            <v>Erection of offices and messes for the Contractor, total Task Order value exceeding £1,000,000 but not exceeding £2,000,000 excluding VAT.</v>
          </cell>
          <cell r="H35" t="str">
            <v>item</v>
          </cell>
          <cell r="I35">
            <v>18560.98069381425</v>
          </cell>
          <cell r="K35">
            <v>22516.147428072782</v>
          </cell>
        </row>
        <row r="36">
          <cell r="G36" t="str">
            <v>Erection of offices and messes for the Contractor, total Task Order value exceeding £2,000,000 but not exceeding £3,000,000 excluding VAT.</v>
          </cell>
          <cell r="H36" t="str">
            <v>item</v>
          </cell>
          <cell r="I36">
            <v>26263.987303659625</v>
          </cell>
          <cell r="K36">
            <v>30456.728031343479</v>
          </cell>
        </row>
        <row r="37">
          <cell r="G37" t="str">
            <v>Erection of offices and messes for the Contractor, total Task Order value exceeding £3,000,000 but not exceeding £4,000,000 excluding VAT.</v>
          </cell>
          <cell r="H37" t="str">
            <v>item</v>
          </cell>
          <cell r="I37">
            <v>31346.287111009002</v>
          </cell>
          <cell r="K37">
            <v>36506.670440908674</v>
          </cell>
        </row>
        <row r="38">
          <cell r="G38" t="str">
            <v>Erection of offices and messes for the Contractor, total Task Order value exceeding £4,000,000 but not exceeding £5,000,000 excluding VAT.</v>
          </cell>
          <cell r="H38" t="str">
            <v>item</v>
          </cell>
          <cell r="I38">
            <v>35725.622894508997</v>
          </cell>
          <cell r="K38">
            <v>41572.059790738349</v>
          </cell>
        </row>
        <row r="39">
          <cell r="G39" t="str">
            <v>Erection of offices and messes for the Contractor, total Task Order value exceeding £5,000,000 excluding VAT.</v>
          </cell>
          <cell r="H39" t="str">
            <v>item</v>
          </cell>
          <cell r="I39">
            <v>38242.345367245871</v>
          </cell>
          <cell r="K39">
            <v>44634.710093966736</v>
          </cell>
        </row>
        <row r="40">
          <cell r="G40" t="str">
            <v>Servicing of offices and messes for the Contractor, total Task Order value not exceeding £1,000,000 excluding VAT.</v>
          </cell>
          <cell r="H40" t="str">
            <v>wk</v>
          </cell>
          <cell r="I40">
            <v>6144.4737095474256</v>
          </cell>
          <cell r="K40">
            <v>7432.0825755384976</v>
          </cell>
        </row>
        <row r="41">
          <cell r="G41" t="str">
            <v>Servicing of offices and messes for the Contractor, total Task Order value exceeding £1,000,000 but not exceeding £2,000,000 excluding VAT.</v>
          </cell>
          <cell r="H41" t="str">
            <v>wk</v>
          </cell>
          <cell r="I41">
            <v>8002.717371837949</v>
          </cell>
          <cell r="K41">
            <v>9438.7108119011918</v>
          </cell>
        </row>
        <row r="42">
          <cell r="G42" t="str">
            <v>Servicing of offices and messes for the Contractor, total Task Order value exceeding £2,000,000 but not exceeding £3,000,000 excluding VAT.</v>
          </cell>
          <cell r="H42" t="str">
            <v>wk</v>
          </cell>
          <cell r="I42">
            <v>9212.6102362031252</v>
          </cell>
          <cell r="K42">
            <v>10818.762031517181</v>
          </cell>
        </row>
        <row r="43">
          <cell r="G43" t="str">
            <v>Servicing of offices and messes for the Contractor, total Task Order value exceeding £3,000,000 but not exceeding £4,000,000 excluding VAT.</v>
          </cell>
          <cell r="H43" t="str">
            <v>wk</v>
          </cell>
          <cell r="I43">
            <v>9708.2062527160742</v>
          </cell>
          <cell r="K43">
            <v>11300.044104963457</v>
          </cell>
        </row>
        <row r="44">
          <cell r="G44" t="str">
            <v>Servicing of offices and messes for the Contractor, total Task Order value exceeding £4,000,000 but not exceeding £5,000,000 excluding VAT.</v>
          </cell>
          <cell r="H44" t="str">
            <v>wk</v>
          </cell>
          <cell r="I44">
            <v>9907.3998881466996</v>
          </cell>
          <cell r="K44">
            <v>11929.491843143465</v>
          </cell>
        </row>
        <row r="45">
          <cell r="G45" t="str">
            <v>Servicing of offices and messes for the Contractor, total Task Order value exceeding £5,000,000 excluding VAT.</v>
          </cell>
          <cell r="H45" t="str">
            <v>wk</v>
          </cell>
          <cell r="I45">
            <v>12249.381901734201</v>
          </cell>
          <cell r="K45">
            <v>14961.387190413396</v>
          </cell>
        </row>
        <row r="46">
          <cell r="G46" t="str">
            <v>Dismantling of offices and messes for the Contractor, total Task Order value not exceeding £1,000,000 excluding VAT.</v>
          </cell>
          <cell r="H46" t="str">
            <v>item</v>
          </cell>
          <cell r="I46">
            <v>4163.0831922297002</v>
          </cell>
          <cell r="K46">
            <v>5202.4831432513374</v>
          </cell>
        </row>
        <row r="47">
          <cell r="G47" t="str">
            <v>Dismantling of offices and messes for the Contractor, total Task Order value exceeding £1,000,000 but not exceeding £2,000,000 excluding VAT.</v>
          </cell>
          <cell r="H47" t="str">
            <v>item</v>
          </cell>
          <cell r="I47">
            <v>5525.6025475057495</v>
          </cell>
          <cell r="K47">
            <v>6676.3463212106062</v>
          </cell>
        </row>
        <row r="48">
          <cell r="G48" t="str">
            <v>Dismantling of offices and messes for the Contractor, total Task Order value exceeding £2,000,000 but not exceeding £3,000,000 excluding VAT.</v>
          </cell>
          <cell r="H48" t="str">
            <v>item</v>
          </cell>
          <cell r="I48">
            <v>7385.0172871112754</v>
          </cell>
          <cell r="K48">
            <v>9180.8048258999843</v>
          </cell>
        </row>
        <row r="49">
          <cell r="G49" t="str">
            <v>Dismantling of offices and messes for the Contractor, total Task Order value exceeding £3,000,000 but not exceeding £4,000,000 excluding VAT.</v>
          </cell>
          <cell r="H49" t="str">
            <v>item</v>
          </cell>
          <cell r="I49">
            <v>8687.8047238365252</v>
          </cell>
          <cell r="K49">
            <v>10963.582379298301</v>
          </cell>
        </row>
        <row r="50">
          <cell r="G50" t="str">
            <v>Dismantling of offices and messes for the Contractor, total Task Order value exceeding £4,000,000 but not exceeding £5,000,000 excluding VAT.</v>
          </cell>
          <cell r="H50" t="str">
            <v>item</v>
          </cell>
          <cell r="I50">
            <v>9778.6863106490237</v>
          </cell>
          <cell r="K50">
            <v>12016.89435555608</v>
          </cell>
        </row>
        <row r="51">
          <cell r="G51" t="str">
            <v>Dismantling of offices and messes for the Contractor, total Task Order value exceeding £5,000,000 excluding VAT.</v>
          </cell>
          <cell r="H51" t="str">
            <v>item</v>
          </cell>
          <cell r="I51">
            <v>10459.669568102152</v>
          </cell>
          <cell r="K51">
            <v>12714.046111722413</v>
          </cell>
        </row>
        <row r="52">
          <cell r="G52" t="str">
            <v>Erection of stores and workshops for the Contractor, total Task Order value not exceeding £1,000,000 excluding VAT</v>
          </cell>
          <cell r="H52" t="str">
            <v>item</v>
          </cell>
          <cell r="I52">
            <v>1443.4047544637501</v>
          </cell>
          <cell r="K52">
            <v>1933.7614379754825</v>
          </cell>
        </row>
        <row r="53">
          <cell r="G53" t="str">
            <v>Erection of stores and workshops for the Contractor, total Task Order value exceeding £1,000,000 but not exceeding £2,000,000 excluding VAT</v>
          </cell>
          <cell r="H53" t="str">
            <v>item</v>
          </cell>
          <cell r="I53">
            <v>2087.7730214349999</v>
          </cell>
          <cell r="K53">
            <v>2872.4989002895327</v>
          </cell>
        </row>
        <row r="54">
          <cell r="G54" t="str">
            <v>Erection of stores and workshops for the Contractor, total Task Order value exceeding £2,000,000 but not exceeding £3,000,000 excluding VAT</v>
          </cell>
          <cell r="H54" t="str">
            <v>item</v>
          </cell>
          <cell r="I54">
            <v>3168.1448627131249</v>
          </cell>
          <cell r="K54">
            <v>4518.3656363068321</v>
          </cell>
        </row>
        <row r="55">
          <cell r="G55" t="str">
            <v>Erection of stores and workshops for the Contractor, total Task Order value exceeding £3,000,000 but not exceeding £4,000,000 excluding VAT</v>
          </cell>
          <cell r="H55" t="str">
            <v>item</v>
          </cell>
          <cell r="I55">
            <v>3891.1410225468744</v>
          </cell>
          <cell r="K55">
            <v>5914.1360938369244</v>
          </cell>
        </row>
        <row r="56">
          <cell r="G56" t="str">
            <v>Erection of stores and workshops for the Contractor, total Task Order value exceeding £4,000,000 but not exceeding £5,000,000 excluding VAT</v>
          </cell>
          <cell r="H56" t="str">
            <v>item</v>
          </cell>
          <cell r="I56">
            <v>4750.9694798593746</v>
          </cell>
          <cell r="K56">
            <v>7455.5876085417203</v>
          </cell>
        </row>
        <row r="57">
          <cell r="G57" t="str">
            <v>Erection of stores and workshops for the Contractor, total Task Order value exceeding £5,000,000 excluding VAT</v>
          </cell>
          <cell r="H57" t="str">
            <v>item</v>
          </cell>
          <cell r="I57">
            <v>5152.0238579375</v>
          </cell>
          <cell r="K57">
            <v>8207.0473846726927</v>
          </cell>
        </row>
        <row r="58">
          <cell r="G58" t="str">
            <v>Servicing of stores and workshops for the Contractor, total Task Order value not exceeding £1,000,000 excluding VAT</v>
          </cell>
          <cell r="H58" t="str">
            <v>wk</v>
          </cell>
          <cell r="I58">
            <v>362.53407153124999</v>
          </cell>
          <cell r="K58">
            <v>621.60783952873624</v>
          </cell>
        </row>
        <row r="59">
          <cell r="G59" t="str">
            <v>Servicing of stores and workshops for the Contractor, total Task Order value exceeding £1,000,000 but not exceeding £2,000,000 excluding VAT</v>
          </cell>
          <cell r="H59" t="str">
            <v>wk</v>
          </cell>
          <cell r="I59">
            <v>834.47062231250004</v>
          </cell>
          <cell r="K59">
            <v>1574.1338097486321</v>
          </cell>
        </row>
        <row r="60">
          <cell r="G60" t="str">
            <v>Servicing of stores and workshops for the Contractor, total Task Order value exceeding £2,000,000 but not exceeding £3,000,000 excluding VAT</v>
          </cell>
          <cell r="H60" t="str">
            <v>wk</v>
          </cell>
          <cell r="I60">
            <v>881.80405375000009</v>
          </cell>
          <cell r="K60">
            <v>1624.1716180574913</v>
          </cell>
        </row>
        <row r="61">
          <cell r="G61" t="str">
            <v>Servicing of stores and workshops for the Contractor, total Task Order value exceeding £3,000,000 but not exceeding £4,000,000 excluding VAT</v>
          </cell>
          <cell r="H61" t="str">
            <v>wk</v>
          </cell>
          <cell r="I61">
            <v>935.84229687499999</v>
          </cell>
          <cell r="K61">
            <v>1690.0175700872592</v>
          </cell>
        </row>
        <row r="62">
          <cell r="G62" t="str">
            <v>Servicing of stores and workshops for the Contractor, total Task Order value exceeding £4,000,000 but not exceeding £5,000,000 excluding VAT</v>
          </cell>
          <cell r="H62" t="str">
            <v>wk</v>
          </cell>
          <cell r="I62">
            <v>1724.6723505675</v>
          </cell>
          <cell r="K62">
            <v>2716.6210629963452</v>
          </cell>
        </row>
        <row r="63">
          <cell r="G63" t="str">
            <v>Servicing of stores and workshops for the Contractor, total Task Order value exceeding £5,000,000 excluding VAT</v>
          </cell>
          <cell r="H63" t="str">
            <v>wk</v>
          </cell>
          <cell r="I63">
            <v>1025.0531400625</v>
          </cell>
          <cell r="K63">
            <v>1830.2894905036876</v>
          </cell>
        </row>
        <row r="64">
          <cell r="G64" t="str">
            <v>Dismantling of stores and workshops for the Contractor, total Task Order value not exceeding £1,000,000 excluding VAT</v>
          </cell>
          <cell r="H64" t="str">
            <v>item</v>
          </cell>
          <cell r="I64">
            <v>683.34932326312503</v>
          </cell>
          <cell r="K64">
            <v>825.5020389768672</v>
          </cell>
        </row>
        <row r="65">
          <cell r="G65" t="str">
            <v>Dismantling of stores and workshops for the Contractor, total Task Order value exceeding £1,000,000 but not exceeding £2,000,000 excluding VAT</v>
          </cell>
          <cell r="H65" t="str">
            <v>item</v>
          </cell>
          <cell r="I65">
            <v>1021.64902753375</v>
          </cell>
          <cell r="K65">
            <v>1285.9476858075284</v>
          </cell>
        </row>
        <row r="66">
          <cell r="G66" t="str">
            <v>Dismantling of stores and workshops for the Contractor, total Task Order value exceeding £2,000,000 but not exceeding £3,000,000 excluding VAT</v>
          </cell>
          <cell r="H66" t="str">
            <v>item</v>
          </cell>
          <cell r="I66">
            <v>1455.386115234375</v>
          </cell>
          <cell r="K66">
            <v>1909.0203991248461</v>
          </cell>
        </row>
        <row r="67">
          <cell r="G67" t="str">
            <v>Dismantling of stores and workshops for the Contractor, total Task Order value exceeding £3,000,000 but not exceeding £4,000,000 excluding VAT</v>
          </cell>
          <cell r="H67" t="str">
            <v>item</v>
          </cell>
          <cell r="I67">
            <v>1735.65553955375</v>
          </cell>
          <cell r="K67">
            <v>2359.2046365682081</v>
          </cell>
        </row>
        <row r="68">
          <cell r="G68" t="str">
            <v>Dismantling of stores and workshops for the Contractor, total Task Order value exceeding £4,000,000 but not exceeding £5,000,000 excluding VAT</v>
          </cell>
          <cell r="H68" t="str">
            <v>item</v>
          </cell>
          <cell r="I68">
            <v>1998.9773170537503</v>
          </cell>
          <cell r="K68">
            <v>2827.1375947365627</v>
          </cell>
        </row>
        <row r="69">
          <cell r="G69" t="str">
            <v>Dismantling of stores and workshops for the Contractor, total Task Order value exceeding £5,000,000 excluding VAT</v>
          </cell>
          <cell r="H69" t="str">
            <v>item</v>
          </cell>
          <cell r="I69">
            <v>2156.046726</v>
          </cell>
          <cell r="K69">
            <v>3056.3613944371082</v>
          </cell>
        </row>
        <row r="70">
          <cell r="I70" t="str">
            <v/>
          </cell>
        </row>
        <row r="71">
          <cell r="G71" t="str">
            <v>&lt;Select&gt;</v>
          </cell>
          <cell r="I71" t="str">
            <v/>
          </cell>
        </row>
        <row r="72">
          <cell r="G72" t="str">
            <v>Vehicle for the Overseeing Organisation until completion of the works.</v>
          </cell>
          <cell r="H72" t="str">
            <v>v day</v>
          </cell>
          <cell r="I72">
            <v>57.492979125000005</v>
          </cell>
          <cell r="K72">
            <v>65.915858238113842</v>
          </cell>
        </row>
        <row r="73">
          <cell r="G73" t="str">
            <v>Vehicle for the Overseeing Organisation after completion of the works.</v>
          </cell>
          <cell r="H73" t="str">
            <v>v day</v>
          </cell>
          <cell r="I73">
            <v>57.492979125000005</v>
          </cell>
          <cell r="K73">
            <v>65.915858238113842</v>
          </cell>
        </row>
        <row r="74">
          <cell r="I74" t="str">
            <v/>
          </cell>
        </row>
        <row r="75">
          <cell r="G75" t="str">
            <v>&lt;Select&gt;</v>
          </cell>
          <cell r="I75" t="str">
            <v/>
          </cell>
        </row>
        <row r="76">
          <cell r="G76" t="str">
            <v>Communication System until completion of the works.</v>
          </cell>
          <cell r="H76" t="str">
            <v>wk</v>
          </cell>
          <cell r="I76">
            <v>99.993295953124999</v>
          </cell>
          <cell r="K76">
            <v>128.03150474344133</v>
          </cell>
        </row>
        <row r="77">
          <cell r="G77" t="str">
            <v>Additional Communication equipment, hand held unit, for the Overseeing Organisation until completion of the works</v>
          </cell>
          <cell r="H77" t="str">
            <v>wk</v>
          </cell>
          <cell r="I77">
            <v>25.297489036718751</v>
          </cell>
          <cell r="K77">
            <v>31.861313475945451</v>
          </cell>
        </row>
        <row r="78">
          <cell r="G78" t="str">
            <v>Additional Communication equipment, mobile unit, for the Overseeing Organisation until completion of the works</v>
          </cell>
          <cell r="H78" t="str">
            <v>wk</v>
          </cell>
          <cell r="I78">
            <v>25.793093036718751</v>
          </cell>
          <cell r="K78">
            <v>32.013790703463513</v>
          </cell>
        </row>
        <row r="79">
          <cell r="G79" t="str">
            <v>Communication System after completion of the works.</v>
          </cell>
          <cell r="H79" t="str">
            <v>wk</v>
          </cell>
          <cell r="I79">
            <v>99.13531870312498</v>
          </cell>
          <cell r="K79">
            <v>127.68306196650765</v>
          </cell>
        </row>
        <row r="80">
          <cell r="G80" t="str">
            <v>Additional Communication equipment, hand held unit, for the Overseeing Organisation after completion of the works</v>
          </cell>
          <cell r="H80" t="str">
            <v>wk</v>
          </cell>
          <cell r="I80">
            <v>25.481993786718753</v>
          </cell>
          <cell r="K80">
            <v>31.910969087691893</v>
          </cell>
        </row>
        <row r="81">
          <cell r="G81" t="str">
            <v>Additional Communication equipment, mobile unit, for the Overseeing Organisation after completion of the works</v>
          </cell>
          <cell r="H81" t="str">
            <v>wk</v>
          </cell>
          <cell r="I81">
            <v>25.793093036718751</v>
          </cell>
          <cell r="K81">
            <v>32.013790703463513</v>
          </cell>
        </row>
        <row r="82">
          <cell r="I82" t="str">
            <v/>
          </cell>
        </row>
        <row r="83">
          <cell r="G83" t="str">
            <v>&lt;Select&gt;</v>
          </cell>
          <cell r="I83" t="str">
            <v/>
          </cell>
        </row>
        <row r="84">
          <cell r="G84" t="str">
            <v>Chainman/Driver for the Overseeing Organisation until completion of the works.</v>
          </cell>
          <cell r="H84" t="str">
            <v>op day</v>
          </cell>
          <cell r="I84">
            <v>132.5999897290875</v>
          </cell>
          <cell r="K84">
            <v>136.94736915116715</v>
          </cell>
        </row>
        <row r="85">
          <cell r="G85" t="str">
            <v>Chainman/Driver for the Overseeing Organisation after completion of the works.</v>
          </cell>
          <cell r="H85" t="str">
            <v>op day</v>
          </cell>
          <cell r="I85">
            <v>132.93946005295874</v>
          </cell>
          <cell r="K85">
            <v>137.26647211579566</v>
          </cell>
        </row>
        <row r="86">
          <cell r="G86" t="str">
            <v>Driver/Laboratory handyman for the Overseeing Organisation until completion of the works.</v>
          </cell>
          <cell r="H86" t="str">
            <v>op day</v>
          </cell>
          <cell r="I86">
            <v>140.583688373775</v>
          </cell>
          <cell r="K86">
            <v>144.25020672731404</v>
          </cell>
        </row>
        <row r="87">
          <cell r="G87" t="str">
            <v>Driver/Laboratory handyman for the Overseeing Organisation after completion of the works.</v>
          </cell>
          <cell r="H87" t="str">
            <v>op day</v>
          </cell>
          <cell r="I87">
            <v>135.7322709790875</v>
          </cell>
          <cell r="K87">
            <v>139.22103939594959</v>
          </cell>
        </row>
        <row r="88">
          <cell r="I88" t="str">
            <v/>
          </cell>
        </row>
        <row r="89">
          <cell r="G89" t="str">
            <v>&lt;Select&gt;</v>
          </cell>
          <cell r="I89" t="str">
            <v/>
          </cell>
        </row>
        <row r="90">
          <cell r="G90" t="str">
            <v>Establishment of heavy recovery vehicle</v>
          </cell>
          <cell r="H90" t="str">
            <v>item</v>
          </cell>
          <cell r="I90">
            <v>517.14182184187496</v>
          </cell>
          <cell r="K90">
            <v>1151.3522129483033</v>
          </cell>
        </row>
        <row r="91">
          <cell r="G91" t="str">
            <v>Establishment of light recovery vehicle</v>
          </cell>
          <cell r="H91" t="str">
            <v>item</v>
          </cell>
          <cell r="I91">
            <v>491.6105718418749</v>
          </cell>
          <cell r="K91">
            <v>1144.5381797141829</v>
          </cell>
        </row>
        <row r="92">
          <cell r="G92" t="str">
            <v>Maintenance of heavy recovery vehicle.</v>
          </cell>
          <cell r="H92" t="str">
            <v>v day</v>
          </cell>
          <cell r="I92">
            <v>429.08391273437502</v>
          </cell>
          <cell r="K92">
            <v>439.74105975275342</v>
          </cell>
        </row>
        <row r="93">
          <cell r="G93" t="str">
            <v>Maintenance of light recovery vehicle.</v>
          </cell>
          <cell r="H93" t="str">
            <v>v day</v>
          </cell>
          <cell r="I93">
            <v>327.74805425</v>
          </cell>
          <cell r="K93">
            <v>341.62119954474343</v>
          </cell>
        </row>
        <row r="94">
          <cell r="G94" t="str">
            <v>Removal of heavy recovery vehicle</v>
          </cell>
          <cell r="H94" t="str">
            <v>item</v>
          </cell>
          <cell r="I94">
            <v>389.42674464375006</v>
          </cell>
          <cell r="K94">
            <v>796.89634516223157</v>
          </cell>
        </row>
        <row r="95">
          <cell r="G95" t="str">
            <v>Removal of light recovery vehicle</v>
          </cell>
          <cell r="H95" t="str">
            <v>item</v>
          </cell>
          <cell r="I95">
            <v>363.89549464375006</v>
          </cell>
          <cell r="K95">
            <v>787.01938444705581</v>
          </cell>
        </row>
        <row r="96">
          <cell r="I96" t="str">
            <v/>
          </cell>
        </row>
        <row r="97">
          <cell r="G97" t="str">
            <v>&lt;Select&gt;</v>
          </cell>
          <cell r="I97" t="str">
            <v/>
          </cell>
        </row>
        <row r="98">
          <cell r="G98" t="str">
            <v>Set of progress photographs in colour.</v>
          </cell>
          <cell r="H98" t="str">
            <v>no</v>
          </cell>
          <cell r="I98">
            <v>168.31283014296875</v>
          </cell>
          <cell r="K98">
            <v>238.26592904161711</v>
          </cell>
        </row>
        <row r="99">
          <cell r="G99" t="str">
            <v>Additional set of progress photographs in colour.</v>
          </cell>
          <cell r="H99" t="str">
            <v>no</v>
          </cell>
          <cell r="I99">
            <v>119.40004214296874</v>
          </cell>
          <cell r="K99">
            <v>219.5883865790563</v>
          </cell>
        </row>
        <row r="100">
          <cell r="I100" t="str">
            <v/>
          </cell>
        </row>
        <row r="101">
          <cell r="G101" t="str">
            <v>&lt;Select&gt;</v>
          </cell>
          <cell r="I101" t="str">
            <v/>
          </cell>
        </row>
        <row r="102">
          <cell r="I102" t="str">
            <v/>
          </cell>
        </row>
        <row r="103">
          <cell r="G103" t="str">
            <v>&lt;Select&gt;</v>
          </cell>
          <cell r="I103" t="str">
            <v/>
          </cell>
        </row>
        <row r="104">
          <cell r="I104" t="str">
            <v/>
          </cell>
        </row>
        <row r="105">
          <cell r="G105" t="str">
            <v>&lt;Select&gt;</v>
          </cell>
          <cell r="I105" t="str">
            <v/>
          </cell>
        </row>
        <row r="106">
          <cell r="G106" t="str">
            <v>Security of the site for Task Order value not exceeding £1,000,000</v>
          </cell>
          <cell r="H106" t="str">
            <v>wk</v>
          </cell>
          <cell r="I106">
            <v>1132.7365194818999</v>
          </cell>
          <cell r="K106">
            <v>1310.3331698585823</v>
          </cell>
          <cell r="O106">
            <v>0</v>
          </cell>
          <cell r="Q106">
            <v>0</v>
          </cell>
          <cell r="S106">
            <v>0</v>
          </cell>
          <cell r="U106">
            <v>0</v>
          </cell>
          <cell r="W106">
            <v>0</v>
          </cell>
        </row>
        <row r="107">
          <cell r="G107" t="str">
            <v>Security of the site for Task Order value exceeding £1,000,000 but not exceeding £2,000,000</v>
          </cell>
          <cell r="H107" t="str">
            <v>wk</v>
          </cell>
          <cell r="I107">
            <v>1194.9404805905001</v>
          </cell>
          <cell r="K107">
            <v>1338.4983771050474</v>
          </cell>
          <cell r="O107">
            <v>0</v>
          </cell>
          <cell r="Q107">
            <v>0</v>
          </cell>
          <cell r="S107">
            <v>0</v>
          </cell>
          <cell r="U107">
            <v>0</v>
          </cell>
          <cell r="W107">
            <v>0</v>
          </cell>
        </row>
        <row r="108">
          <cell r="G108" t="str">
            <v>Security of the site for Task Order value exceeding £2,000,000 but not exceeding £3,000,000</v>
          </cell>
          <cell r="H108" t="str">
            <v>wk</v>
          </cell>
          <cell r="I108">
            <v>1537.9986584525998</v>
          </cell>
          <cell r="K108">
            <v>1684.1717183378589</v>
          </cell>
          <cell r="O108">
            <v>0</v>
          </cell>
          <cell r="Q108">
            <v>0</v>
          </cell>
          <cell r="S108">
            <v>0</v>
          </cell>
          <cell r="U108">
            <v>0</v>
          </cell>
          <cell r="W108">
            <v>0</v>
          </cell>
        </row>
        <row r="109">
          <cell r="I109" t="str">
            <v/>
          </cell>
        </row>
        <row r="110">
          <cell r="I110" t="str">
            <v/>
          </cell>
        </row>
        <row r="111">
          <cell r="I111" t="str">
            <v/>
          </cell>
        </row>
        <row r="112">
          <cell r="G112" t="str">
            <v>&lt;Select&gt;</v>
          </cell>
          <cell r="I112" t="str">
            <v/>
          </cell>
        </row>
        <row r="113">
          <cell r="I113" t="str">
            <v/>
          </cell>
        </row>
        <row r="114">
          <cell r="G114" t="str">
            <v>&lt;Select&gt;</v>
          </cell>
          <cell r="I114" t="str">
            <v/>
          </cell>
        </row>
        <row r="115">
          <cell r="G115" t="str">
            <v>General Site Clearance</v>
          </cell>
          <cell r="H115" t="str">
            <v>ha</v>
          </cell>
          <cell r="I115">
            <v>4683.062380591402</v>
          </cell>
          <cell r="K115">
            <v>6293.5868445700671</v>
          </cell>
          <cell r="M115">
            <v>1104.8</v>
          </cell>
          <cell r="O115">
            <v>2244</v>
          </cell>
          <cell r="Q115">
            <v>0</v>
          </cell>
          <cell r="S115">
            <v>0</v>
          </cell>
          <cell r="U115">
            <v>2244</v>
          </cell>
          <cell r="W115">
            <v>0</v>
          </cell>
        </row>
        <row r="116">
          <cell r="G116" t="str">
            <v>General, Medium density wooded</v>
          </cell>
          <cell r="H116" t="str">
            <v>ha</v>
          </cell>
          <cell r="I116">
            <v>5920.4934772937004</v>
          </cell>
          <cell r="K116">
            <v>7547.4580592367447</v>
          </cell>
          <cell r="M116">
            <v>2297.6</v>
          </cell>
          <cell r="O116">
            <v>4488</v>
          </cell>
          <cell r="Q116">
            <v>0</v>
          </cell>
          <cell r="S116">
            <v>0</v>
          </cell>
          <cell r="U116">
            <v>4488</v>
          </cell>
          <cell r="W116">
            <v>0</v>
          </cell>
        </row>
        <row r="117">
          <cell r="G117" t="str">
            <v>General, heavy density wooded</v>
          </cell>
          <cell r="H117" t="str">
            <v>ha</v>
          </cell>
          <cell r="I117">
            <v>7685.0921047833999</v>
          </cell>
          <cell r="K117">
            <v>9930.0547974619658</v>
          </cell>
          <cell r="M117">
            <v>3577.35</v>
          </cell>
          <cell r="O117">
            <v>8976</v>
          </cell>
          <cell r="Q117">
            <v>0</v>
          </cell>
          <cell r="S117">
            <v>0</v>
          </cell>
          <cell r="U117">
            <v>8976</v>
          </cell>
          <cell r="W117">
            <v>0</v>
          </cell>
        </row>
        <row r="118">
          <cell r="G118" t="str">
            <v>General, urban areas (town centre)</v>
          </cell>
          <cell r="H118" t="str">
            <v>ha</v>
          </cell>
          <cell r="I118">
            <v>3744.0126176412027</v>
          </cell>
          <cell r="K118">
            <v>4746.374601175381</v>
          </cell>
          <cell r="M118">
            <v>3411.36</v>
          </cell>
          <cell r="O118">
            <v>0</v>
          </cell>
          <cell r="Q118">
            <v>0</v>
          </cell>
          <cell r="S118">
            <v>0</v>
          </cell>
          <cell r="U118">
            <v>0</v>
          </cell>
          <cell r="W118">
            <v>0</v>
          </cell>
        </row>
        <row r="119">
          <cell r="G119" t="str">
            <v>Demolition, building; brick construction with timber floor and roof</v>
          </cell>
          <cell r="H119" t="str">
            <v>m3</v>
          </cell>
          <cell r="I119">
            <v>30.116718956093749</v>
          </cell>
          <cell r="K119">
            <v>35.214993020107634</v>
          </cell>
          <cell r="M119">
            <v>6.04</v>
          </cell>
          <cell r="O119">
            <v>0</v>
          </cell>
          <cell r="Q119">
            <v>0</v>
          </cell>
          <cell r="S119">
            <v>0</v>
          </cell>
          <cell r="U119">
            <v>0</v>
          </cell>
          <cell r="W119">
            <v>0</v>
          </cell>
        </row>
        <row r="120">
          <cell r="G120" t="str">
            <v>Demolition, building; brick construction with concrete floor and roof</v>
          </cell>
          <cell r="H120" t="str">
            <v>m3</v>
          </cell>
          <cell r="I120">
            <v>34.562297869736874</v>
          </cell>
          <cell r="K120">
            <v>38.718164907004486</v>
          </cell>
          <cell r="M120">
            <v>9.9499999999999993</v>
          </cell>
          <cell r="O120">
            <v>0</v>
          </cell>
          <cell r="Q120">
            <v>0</v>
          </cell>
          <cell r="S120">
            <v>0</v>
          </cell>
          <cell r="U120">
            <v>0</v>
          </cell>
          <cell r="W120">
            <v>0</v>
          </cell>
        </row>
        <row r="121">
          <cell r="G121" t="str">
            <v>Demolition, reinforced concrete retaining wall</v>
          </cell>
          <cell r="H121" t="str">
            <v>m3</v>
          </cell>
          <cell r="I121">
            <v>176.57077493384125</v>
          </cell>
          <cell r="K121">
            <v>345.54527412974329</v>
          </cell>
          <cell r="M121">
            <v>137.22</v>
          </cell>
          <cell r="O121">
            <v>0</v>
          </cell>
          <cell r="Q121">
            <v>0</v>
          </cell>
          <cell r="S121">
            <v>0</v>
          </cell>
          <cell r="U121">
            <v>0</v>
          </cell>
          <cell r="W121">
            <v>0</v>
          </cell>
        </row>
        <row r="122">
          <cell r="G122" t="str">
            <v>Demolition, brick or masonry retaining wall</v>
          </cell>
          <cell r="H122" t="str">
            <v>m3</v>
          </cell>
          <cell r="I122">
            <v>68.381965341178756</v>
          </cell>
          <cell r="K122">
            <v>85.562227308168744</v>
          </cell>
          <cell r="M122">
            <v>75.47</v>
          </cell>
          <cell r="O122">
            <v>0</v>
          </cell>
          <cell r="Q122">
            <v>0</v>
          </cell>
          <cell r="S122">
            <v>0</v>
          </cell>
          <cell r="U122">
            <v>0</v>
          </cell>
          <cell r="W122">
            <v>0</v>
          </cell>
        </row>
        <row r="123">
          <cell r="I123" t="str">
            <v/>
          </cell>
        </row>
        <row r="124">
          <cell r="G124" t="str">
            <v>&lt;Select&gt;</v>
          </cell>
          <cell r="I124" t="str">
            <v/>
          </cell>
        </row>
        <row r="125">
          <cell r="G125" t="str">
            <v>Take up or down and set aside for reuse stonework.</v>
          </cell>
          <cell r="H125" t="str">
            <v>m3</v>
          </cell>
          <cell r="I125">
            <v>131.38002093056187</v>
          </cell>
          <cell r="K125">
            <v>160.18438533384847</v>
          </cell>
        </row>
        <row r="126">
          <cell r="G126" t="str">
            <v>Take up or down and set aside for reuse stone flag paving 75 mm thick.</v>
          </cell>
          <cell r="H126" t="str">
            <v>m2</v>
          </cell>
          <cell r="I126">
            <v>9.7950480748643738</v>
          </cell>
          <cell r="K126">
            <v>11.243037333409076</v>
          </cell>
        </row>
        <row r="127">
          <cell r="G127" t="str">
            <v>Take up or down and set aside for reuse brick paving 75 mm thick.</v>
          </cell>
          <cell r="H127" t="str">
            <v>m2</v>
          </cell>
          <cell r="I127">
            <v>14.757463682489375</v>
          </cell>
          <cell r="K127">
            <v>21.48597814206877</v>
          </cell>
        </row>
        <row r="128">
          <cell r="G128" t="str">
            <v>Take up or down and set aside for reuse block paving 100 mm thick.</v>
          </cell>
          <cell r="H128" t="str">
            <v>m2</v>
          </cell>
          <cell r="I128">
            <v>10.758557682489375</v>
          </cell>
          <cell r="K128">
            <v>12.045833405566631</v>
          </cell>
        </row>
        <row r="129">
          <cell r="G129" t="str">
            <v>Take up or down and set aside for reuse granite kerbs.</v>
          </cell>
          <cell r="H129" t="str">
            <v>m</v>
          </cell>
          <cell r="I129">
            <v>9.6778588558450007</v>
          </cell>
          <cell r="K129">
            <v>10.428575360205311</v>
          </cell>
        </row>
        <row r="130">
          <cell r="G130" t="str">
            <v>Take up or down and set aside for reuse untensioned single sided corrugated beam safety fence on steel posts.</v>
          </cell>
          <cell r="H130" t="str">
            <v>m</v>
          </cell>
          <cell r="I130">
            <v>1.8919605480010624</v>
          </cell>
          <cell r="K130">
            <v>2.2460442514475631</v>
          </cell>
        </row>
        <row r="131">
          <cell r="G131" t="str">
            <v>Take up or down and set aside for reuse untensioned single sided open box beam safety fence on steel posts.</v>
          </cell>
          <cell r="H131" t="str">
            <v>m</v>
          </cell>
          <cell r="I131">
            <v>2.2547717438510624</v>
          </cell>
          <cell r="K131">
            <v>2.7107824543716812</v>
          </cell>
        </row>
        <row r="132">
          <cell r="G132" t="str">
            <v>Take up or down and set aside for reuse untensioned single sided open box beam safety fence attached to structures.</v>
          </cell>
          <cell r="H132" t="str">
            <v>m</v>
          </cell>
          <cell r="I132">
            <v>2.5806704053718748</v>
          </cell>
          <cell r="K132">
            <v>3.9254039819513071</v>
          </cell>
        </row>
        <row r="133">
          <cell r="G133" t="str">
            <v>Take up or down and set aside for reuse tensioned single sided corrugated beam safety fence on steel posts.</v>
          </cell>
          <cell r="H133" t="str">
            <v>m</v>
          </cell>
          <cell r="I133">
            <v>1.9125821917718748</v>
          </cell>
          <cell r="K133">
            <v>2.2564450059237693</v>
          </cell>
          <cell r="M133">
            <v>15.64</v>
          </cell>
        </row>
        <row r="134">
          <cell r="G134" t="str">
            <v>Take up or down and set aside for reuse tensioned double sided corrugated beam safety fence on steel posts.</v>
          </cell>
          <cell r="H134" t="str">
            <v>m</v>
          </cell>
          <cell r="I134">
            <v>2.5109879186510624</v>
          </cell>
          <cell r="K134">
            <v>2.8858973095315683</v>
          </cell>
        </row>
        <row r="135">
          <cell r="G135" t="str">
            <v>Take up or down and set aside for reuse replaceable terminal section (existing foundations to remain) for tensioned doubled sided corrugated beam.</v>
          </cell>
          <cell r="H135" t="str">
            <v>no</v>
          </cell>
          <cell r="I135">
            <v>52.208600717181248</v>
          </cell>
          <cell r="K135">
            <v>57.422298641711585</v>
          </cell>
        </row>
        <row r="136">
          <cell r="G136" t="str">
            <v>Take up or down and set aside for reuse road stud.</v>
          </cell>
          <cell r="H136" t="str">
            <v>no</v>
          </cell>
          <cell r="I136">
            <v>23.31427290116125</v>
          </cell>
          <cell r="K136">
            <v>59.367457134444798</v>
          </cell>
          <cell r="M136">
            <v>3.11</v>
          </cell>
        </row>
        <row r="137">
          <cell r="G137" t="str">
            <v>Take up or down and set aside for reuse chamber cover and frame.</v>
          </cell>
          <cell r="H137" t="str">
            <v>no</v>
          </cell>
          <cell r="I137">
            <v>49.522048034873123</v>
          </cell>
          <cell r="K137">
            <v>85.666023442517002</v>
          </cell>
          <cell r="M137">
            <v>3.11</v>
          </cell>
        </row>
        <row r="138">
          <cell r="G138" t="str">
            <v>Take up or down and set aside for reuse gully grating and frame.</v>
          </cell>
          <cell r="H138" t="str">
            <v>no</v>
          </cell>
          <cell r="I138">
            <v>58.189533572273113</v>
          </cell>
          <cell r="K138">
            <v>119.89481283645644</v>
          </cell>
          <cell r="M138">
            <v>3.11</v>
          </cell>
        </row>
        <row r="139">
          <cell r="G139" t="str">
            <v>Take up or down and remove to tip off site single sided corrugated beam safety fence including posts, foundations, connections and terminals.</v>
          </cell>
          <cell r="H139" t="str">
            <v>m</v>
          </cell>
          <cell r="I139">
            <v>3.3709754398010623</v>
          </cell>
          <cell r="K139">
            <v>3.9440680462494573</v>
          </cell>
          <cell r="M139">
            <v>19.14</v>
          </cell>
        </row>
        <row r="140">
          <cell r="G140" t="str">
            <v>Take up or down and remove to tip off site double sided corrugated beam safety fence including posts, foundations, connections and terminals.</v>
          </cell>
          <cell r="H140" t="str">
            <v>m</v>
          </cell>
          <cell r="I140">
            <v>4.2117007216812503</v>
          </cell>
          <cell r="K140">
            <v>4.8030797437615158</v>
          </cell>
        </row>
        <row r="141">
          <cell r="G141" t="str">
            <v>Take up or down and remove to tip off site single sided box beam safety fence including posts, foundations, connections and terminals.</v>
          </cell>
          <cell r="H141" t="str">
            <v>m</v>
          </cell>
          <cell r="I141">
            <v>4.5115981553718747</v>
          </cell>
          <cell r="K141">
            <v>5.3063162293916921</v>
          </cell>
        </row>
        <row r="142">
          <cell r="G142" t="str">
            <v>Take up or down and remove to tip off site double sided box beam safety fence including posts, foundations, connections and terminals.</v>
          </cell>
          <cell r="H142" t="str">
            <v>m</v>
          </cell>
          <cell r="I142">
            <v>5.2733494571906245</v>
          </cell>
          <cell r="K142">
            <v>5.738871595394345</v>
          </cell>
        </row>
        <row r="143">
          <cell r="G143" t="str">
            <v>Take up or down and remove to tip off site boundary fencing not exceeding 2.0 metres high</v>
          </cell>
          <cell r="H143" t="str">
            <v>m</v>
          </cell>
          <cell r="I143">
            <v>8.3974373505637487</v>
          </cell>
          <cell r="K143">
            <v>9.4511189115254606</v>
          </cell>
          <cell r="M143">
            <v>10.130000000000001</v>
          </cell>
        </row>
        <row r="144">
          <cell r="G144" t="str">
            <v>Take up or down and remove to tip off Site lighting column not exceeding 10m in height including bracket arm and lantern</v>
          </cell>
          <cell r="H144" t="str">
            <v>no</v>
          </cell>
          <cell r="I144">
            <v>112.78271846586242</v>
          </cell>
          <cell r="K144">
            <v>128.54405182537769</v>
          </cell>
          <cell r="M144">
            <v>95.77</v>
          </cell>
        </row>
        <row r="145">
          <cell r="G145" t="str">
            <v>Take up or down and remove to tip off Site lighting column exceeding 10m in height including bracket arm and lantern</v>
          </cell>
          <cell r="H145" t="str">
            <v>no</v>
          </cell>
          <cell r="I145">
            <v>109.65035760857143</v>
          </cell>
          <cell r="K145">
            <v>107.42140490809983</v>
          </cell>
        </row>
        <row r="146">
          <cell r="G146" t="str">
            <v>Take up or down and remove to tip off Site traffic sign including posts, sign face not exceeding 1 m2 in area.</v>
          </cell>
          <cell r="H146" t="str">
            <v>no</v>
          </cell>
          <cell r="I146">
            <v>80.308811310620953</v>
          </cell>
          <cell r="K146">
            <v>83.779282084555362</v>
          </cell>
          <cell r="M146">
            <v>42.35</v>
          </cell>
        </row>
        <row r="147">
          <cell r="G147" t="str">
            <v>Take up or down and remove to tip off Site traffic sign including posts, sign face exceeding 1 m2 but not exceeding 5 m2 in area.</v>
          </cell>
          <cell r="H147" t="str">
            <v>no</v>
          </cell>
          <cell r="I147">
            <v>119.3928853928752</v>
          </cell>
          <cell r="K147">
            <v>126.40555466049801</v>
          </cell>
        </row>
        <row r="148">
          <cell r="G148" t="str">
            <v>Take up or down and remove to tip off Site traffic sign including posts, sign face exceeding 5 m2 but not exceeding 10 m2 in area.</v>
          </cell>
          <cell r="H148" t="str">
            <v>no</v>
          </cell>
          <cell r="I148">
            <v>196.18636312786856</v>
          </cell>
          <cell r="K148">
            <v>219.04431180074488</v>
          </cell>
        </row>
        <row r="149">
          <cell r="G149" t="str">
            <v>Take up or down and remove to tip off Site traffic sign including posts, sign face exceeding 10 m2 but not exceeding 20 m2 in area.</v>
          </cell>
          <cell r="H149" t="str">
            <v>no</v>
          </cell>
          <cell r="I149">
            <v>307.20154303601686</v>
          </cell>
          <cell r="K149">
            <v>367.32345051237036</v>
          </cell>
        </row>
        <row r="150">
          <cell r="G150" t="str">
            <v>Take up or down and remove to tip off Site traffic sign including posts, sign face exceeding 20 m2 but not exceeding 30 m2 in area.</v>
          </cell>
          <cell r="H150" t="str">
            <v>no</v>
          </cell>
          <cell r="I150">
            <v>412.17905389233829</v>
          </cell>
          <cell r="K150">
            <v>490.74839201419087</v>
          </cell>
        </row>
        <row r="151">
          <cell r="G151" t="str">
            <v>Take up or down and remove to tip off Site traffic sign excluding posts, sign face not exceeding 1 m2 in area.</v>
          </cell>
          <cell r="H151" t="str">
            <v>no</v>
          </cell>
          <cell r="I151">
            <v>35.462060945933061</v>
          </cell>
          <cell r="K151">
            <v>37.282165381479473</v>
          </cell>
        </row>
        <row r="152">
          <cell r="G152" t="str">
            <v>Take up or down and remove to tip off Site traffic sign excluding posts, sign face exceeding 1 m2 but not exceeding 5 m2 in area.</v>
          </cell>
          <cell r="H152" t="str">
            <v>no</v>
          </cell>
          <cell r="I152">
            <v>47.456220840190234</v>
          </cell>
          <cell r="K152">
            <v>50.674743695841165</v>
          </cell>
        </row>
        <row r="153">
          <cell r="G153" t="str">
            <v>Take up or down and remove to tip off Site traffic sign excluding posts, sign face exceeding 5 m2 but not exceeding 10 m2 in area.</v>
          </cell>
          <cell r="H153" t="str">
            <v>no</v>
          </cell>
          <cell r="I153">
            <v>91.040015574175825</v>
          </cell>
          <cell r="K153">
            <v>99.942995459033114</v>
          </cell>
        </row>
        <row r="154">
          <cell r="G154" t="str">
            <v>Take up or down and remove to tip off Site traffic sign excluding posts, sign face exceeding 10 m2 but not exceeding 20 m2 in area.</v>
          </cell>
          <cell r="H154" t="str">
            <v>no</v>
          </cell>
          <cell r="I154">
            <v>156.69973820216626</v>
          </cell>
          <cell r="K154">
            <v>178.43799635071468</v>
          </cell>
        </row>
        <row r="155">
          <cell r="G155" t="str">
            <v>Take up or down and remove to tip off Site traffic sign excluding posts, sign face exceeding 20 m2 but not exceeding 30 m2 in area.</v>
          </cell>
          <cell r="H155" t="str">
            <v>no</v>
          </cell>
          <cell r="I155">
            <v>235.24811917065097</v>
          </cell>
          <cell r="K155">
            <v>277.47462259083414</v>
          </cell>
        </row>
        <row r="156">
          <cell r="G156" t="str">
            <v>Take up or down and remove to tip off site parapet railing and posts</v>
          </cell>
          <cell r="H156" t="str">
            <v>no</v>
          </cell>
          <cell r="I156">
            <v>48.825951153866882</v>
          </cell>
          <cell r="K156">
            <v>88.097561251755337</v>
          </cell>
        </row>
        <row r="157">
          <cell r="I157" t="str">
            <v/>
          </cell>
        </row>
        <row r="158">
          <cell r="I158" t="str">
            <v/>
          </cell>
        </row>
        <row r="159">
          <cell r="I159" t="str">
            <v/>
          </cell>
        </row>
        <row r="160">
          <cell r="G160" t="str">
            <v>&lt;Select&gt;</v>
          </cell>
          <cell r="I160" t="str">
            <v/>
          </cell>
        </row>
        <row r="161">
          <cell r="I161" t="str">
            <v/>
          </cell>
        </row>
        <row r="162">
          <cell r="G162" t="str">
            <v>&lt;Select&gt;</v>
          </cell>
          <cell r="I162" t="str">
            <v/>
          </cell>
        </row>
        <row r="163">
          <cell r="G163" t="str">
            <v>Four rail fencing  1.4m high with timber posts</v>
          </cell>
          <cell r="H163" t="str">
            <v>m</v>
          </cell>
          <cell r="I163">
            <v>19.050912106577783</v>
          </cell>
          <cell r="K163">
            <v>19.998888303130634</v>
          </cell>
          <cell r="M163">
            <v>22.09</v>
          </cell>
          <cell r="O163">
            <v>20.834187999999997</v>
          </cell>
          <cell r="Q163">
            <v>11.410299999999999</v>
          </cell>
          <cell r="S163">
            <v>6.3888E-2</v>
          </cell>
          <cell r="U163">
            <v>9.36</v>
          </cell>
          <cell r="W163">
            <v>24.2</v>
          </cell>
        </row>
        <row r="164">
          <cell r="G164" t="str">
            <v>Close boarded fencing 1.8m high with timber posts</v>
          </cell>
          <cell r="H164" t="str">
            <v>m</v>
          </cell>
          <cell r="I164">
            <v>54.615506557896879</v>
          </cell>
          <cell r="K164">
            <v>56.189645127762617</v>
          </cell>
          <cell r="M164">
            <v>61.29</v>
          </cell>
          <cell r="O164">
            <v>9.2368421052631575</v>
          </cell>
          <cell r="Q164">
            <v>0</v>
          </cell>
          <cell r="S164">
            <v>0</v>
          </cell>
          <cell r="U164">
            <v>9.2368421052631575</v>
          </cell>
          <cell r="W164">
            <v>0</v>
          </cell>
        </row>
        <row r="165">
          <cell r="G165" t="str">
            <v>Plastic coated chain link fencing 1.8m high with steel angle posts</v>
          </cell>
          <cell r="H165" t="str">
            <v>m</v>
          </cell>
          <cell r="I165">
            <v>33.635031036812499</v>
          </cell>
          <cell r="K165">
            <v>36.170568698339466</v>
          </cell>
          <cell r="M165">
            <v>15.09</v>
          </cell>
          <cell r="O165">
            <v>9.1168831168831161</v>
          </cell>
          <cell r="Q165">
            <v>0</v>
          </cell>
          <cell r="S165">
            <v>0</v>
          </cell>
          <cell r="U165">
            <v>9.1168831168831161</v>
          </cell>
          <cell r="W165">
            <v>0</v>
          </cell>
        </row>
        <row r="166">
          <cell r="G166" t="str">
            <v>Plastic coated chain link fencing 1.35m high with steel angle posts</v>
          </cell>
          <cell r="H166" t="str">
            <v>m</v>
          </cell>
          <cell r="I166">
            <v>30.1070306939875</v>
          </cell>
          <cell r="K166">
            <v>32.704617766159934</v>
          </cell>
          <cell r="M166">
            <v>11.74</v>
          </cell>
          <cell r="O166">
            <v>9</v>
          </cell>
          <cell r="Q166">
            <v>0</v>
          </cell>
          <cell r="S166">
            <v>0</v>
          </cell>
          <cell r="U166">
            <v>9</v>
          </cell>
          <cell r="W166">
            <v>0</v>
          </cell>
        </row>
        <row r="167">
          <cell r="G167" t="str">
            <v>Concrete footing to timber main posts for four rail fencing</v>
          </cell>
          <cell r="H167" t="str">
            <v>no</v>
          </cell>
          <cell r="I167">
            <v>13.702332309012499</v>
          </cell>
          <cell r="K167">
            <v>16.691289477402407</v>
          </cell>
          <cell r="M167">
            <v>8.86</v>
          </cell>
          <cell r="O167">
            <v>22.261043449367087</v>
          </cell>
          <cell r="Q167">
            <v>13.0284675</v>
          </cell>
          <cell r="S167">
            <v>0.34650000000000003</v>
          </cell>
          <cell r="U167">
            <v>8.886075949367088</v>
          </cell>
          <cell r="W167">
            <v>75</v>
          </cell>
        </row>
        <row r="168">
          <cell r="G168" t="str">
            <v>Concrete footing to timber main posts for close boarded fencing</v>
          </cell>
          <cell r="H168" t="str">
            <v>no</v>
          </cell>
          <cell r="I168">
            <v>25.136846318158749</v>
          </cell>
          <cell r="K168">
            <v>30.135092292476894</v>
          </cell>
          <cell r="M168">
            <v>8.86</v>
          </cell>
          <cell r="O168">
            <v>22.149967500000002</v>
          </cell>
          <cell r="Q168">
            <v>13.0284675</v>
          </cell>
          <cell r="S168">
            <v>0.34650000000000003</v>
          </cell>
          <cell r="U168">
            <v>8.7750000000000004</v>
          </cell>
          <cell r="W168">
            <v>75</v>
          </cell>
        </row>
        <row r="169">
          <cell r="G169" t="str">
            <v>Concrete footing to timber main posts for chain link fencing</v>
          </cell>
          <cell r="H169" t="str">
            <v>no</v>
          </cell>
          <cell r="I169">
            <v>24.326640735715625</v>
          </cell>
          <cell r="K169">
            <v>29.944269761021975</v>
          </cell>
          <cell r="M169">
            <v>8.86</v>
          </cell>
          <cell r="O169">
            <v>22.041634166666668</v>
          </cell>
          <cell r="Q169">
            <v>13.0284675</v>
          </cell>
          <cell r="S169">
            <v>0.34650000000000003</v>
          </cell>
          <cell r="U169">
            <v>8.6666666666666661</v>
          </cell>
          <cell r="W169">
            <v>75</v>
          </cell>
        </row>
        <row r="170">
          <cell r="G170" t="str">
            <v>Timber single field gate 1.4m high 2.4m wide</v>
          </cell>
          <cell r="H170" t="str">
            <v>no</v>
          </cell>
          <cell r="I170">
            <v>519.64264338984992</v>
          </cell>
          <cell r="K170">
            <v>562.77157232947184</v>
          </cell>
          <cell r="M170">
            <v>270.11</v>
          </cell>
          <cell r="O170">
            <v>8.5609756097560972</v>
          </cell>
          <cell r="Q170">
            <v>0</v>
          </cell>
          <cell r="S170">
            <v>0</v>
          </cell>
          <cell r="U170">
            <v>8.5609756097560972</v>
          </cell>
          <cell r="W170">
            <v>0</v>
          </cell>
        </row>
        <row r="171">
          <cell r="G171" t="str">
            <v>Timber single field gate; 1.27m high; 4.1m wide</v>
          </cell>
          <cell r="H171" t="str">
            <v>no</v>
          </cell>
          <cell r="I171">
            <v>680.32605637550012</v>
          </cell>
          <cell r="K171">
            <v>743.33315857596426</v>
          </cell>
          <cell r="M171">
            <v>342.56</v>
          </cell>
          <cell r="O171">
            <v>8.4578313253012052</v>
          </cell>
          <cell r="Q171">
            <v>0</v>
          </cell>
          <cell r="S171">
            <v>0</v>
          </cell>
          <cell r="U171">
            <v>8.4578313253012052</v>
          </cell>
          <cell r="W171">
            <v>0</v>
          </cell>
        </row>
        <row r="172">
          <cell r="G172" t="str">
            <v>Temporary fencing Type 3</v>
          </cell>
          <cell r="H172" t="str">
            <v>m</v>
          </cell>
          <cell r="I172">
            <v>10.975473205604258</v>
          </cell>
          <cell r="K172">
            <v>12.561900584188294</v>
          </cell>
          <cell r="M172">
            <v>8.91</v>
          </cell>
          <cell r="O172">
            <v>8.3571428571428577</v>
          </cell>
          <cell r="Q172">
            <v>0</v>
          </cell>
          <cell r="S172">
            <v>0</v>
          </cell>
          <cell r="U172">
            <v>8.3571428571428577</v>
          </cell>
          <cell r="W172">
            <v>0</v>
          </cell>
        </row>
        <row r="173">
          <cell r="O173">
            <v>0</v>
          </cell>
          <cell r="Q173">
            <v>0</v>
          </cell>
          <cell r="S173">
            <v>0</v>
          </cell>
          <cell r="U173">
            <v>0</v>
          </cell>
          <cell r="W173">
            <v>0</v>
          </cell>
        </row>
        <row r="175">
          <cell r="G175" t="str">
            <v>&lt;Select&gt;</v>
          </cell>
          <cell r="I175" t="str">
            <v/>
          </cell>
        </row>
        <row r="176">
          <cell r="G176" t="str">
            <v>Remove from store and re-erect close boarded fencing 1.8m high with timber posts</v>
          </cell>
          <cell r="H176" t="str">
            <v>m</v>
          </cell>
          <cell r="I176">
            <v>31.812888411400003</v>
          </cell>
          <cell r="K176">
            <v>35.522658925987102</v>
          </cell>
          <cell r="M176">
            <v>26.44</v>
          </cell>
        </row>
        <row r="177">
          <cell r="G177" t="str">
            <v>Remove from store and re-erect close boarded fencing 1.8m high with concrete posts</v>
          </cell>
          <cell r="H177" t="str">
            <v>m</v>
          </cell>
          <cell r="I177">
            <v>32.091824887599998</v>
          </cell>
          <cell r="K177">
            <v>35.623700241365434</v>
          </cell>
          <cell r="M177">
            <v>26.44</v>
          </cell>
        </row>
        <row r="178">
          <cell r="I178" t="str">
            <v/>
          </cell>
        </row>
        <row r="179">
          <cell r="I179" t="str">
            <v/>
          </cell>
        </row>
        <row r="180">
          <cell r="I180" t="str">
            <v/>
          </cell>
        </row>
        <row r="181">
          <cell r="G181" t="str">
            <v>&lt;Select&gt;</v>
          </cell>
          <cell r="I181" t="str">
            <v/>
          </cell>
        </row>
        <row r="182">
          <cell r="I182" t="str">
            <v/>
          </cell>
        </row>
        <row r="183">
          <cell r="G183" t="str">
            <v>&lt;Select&gt;</v>
          </cell>
          <cell r="I183" t="str">
            <v/>
          </cell>
        </row>
        <row r="184">
          <cell r="G184" t="str">
            <v>Safety barrier N2 W2 designed to impact one side only straight or curved exceeding 120 metres radius.</v>
          </cell>
          <cell r="H184" t="str">
            <v>m</v>
          </cell>
          <cell r="I184">
            <v>43.920519904731272</v>
          </cell>
          <cell r="K184">
            <v>44.498789144209908</v>
          </cell>
          <cell r="O184">
            <v>0</v>
          </cell>
          <cell r="Q184">
            <v>0</v>
          </cell>
          <cell r="S184">
            <v>0</v>
          </cell>
          <cell r="U184">
            <v>0</v>
          </cell>
          <cell r="W184">
            <v>0</v>
          </cell>
        </row>
        <row r="185">
          <cell r="G185" t="str">
            <v>Safety barrier N2 W3 designed to impact one side only straight or curved exceeding 120 metres radius.</v>
          </cell>
          <cell r="H185" t="str">
            <v>m</v>
          </cell>
          <cell r="I185">
            <v>39.224110217886867</v>
          </cell>
          <cell r="K185">
            <v>39.819855061252383</v>
          </cell>
          <cell r="O185">
            <v>0</v>
          </cell>
          <cell r="Q185">
            <v>0</v>
          </cell>
          <cell r="S185">
            <v>0</v>
          </cell>
          <cell r="U185">
            <v>0</v>
          </cell>
          <cell r="W185">
            <v>0</v>
          </cell>
        </row>
        <row r="186">
          <cell r="G186" t="str">
            <v>Safety barrier N2 W4 designed to impact one side only straight or curved exceeding 120 metres radius.</v>
          </cell>
          <cell r="H186" t="str">
            <v>m</v>
          </cell>
          <cell r="I186">
            <v>31.531847301488433</v>
          </cell>
          <cell r="K186">
            <v>32.014652499275904</v>
          </cell>
          <cell r="M186">
            <v>87.8</v>
          </cell>
          <cell r="O186">
            <v>0</v>
          </cell>
          <cell r="Q186">
            <v>0</v>
          </cell>
          <cell r="S186">
            <v>0</v>
          </cell>
          <cell r="U186">
            <v>0</v>
          </cell>
          <cell r="W186">
            <v>0</v>
          </cell>
        </row>
        <row r="187">
          <cell r="G187" t="str">
            <v>Safety barrier N2 W5 designed to impact one side only straight or curved exceeding 120 metres radius.</v>
          </cell>
          <cell r="H187" t="str">
            <v>m</v>
          </cell>
          <cell r="I187">
            <v>28.370802851079375</v>
          </cell>
          <cell r="K187">
            <v>28.709203458497178</v>
          </cell>
          <cell r="M187">
            <v>66.62</v>
          </cell>
          <cell r="O187">
            <v>0</v>
          </cell>
          <cell r="Q187">
            <v>0</v>
          </cell>
          <cell r="S187">
            <v>0</v>
          </cell>
          <cell r="U187">
            <v>0</v>
          </cell>
          <cell r="W187">
            <v>0</v>
          </cell>
        </row>
        <row r="188">
          <cell r="G188" t="str">
            <v>Safety barrier N2 W6 designed to impact one side only straight or curved exceeding 120 metres radius.</v>
          </cell>
          <cell r="H188" t="str">
            <v>m</v>
          </cell>
          <cell r="I188">
            <v>27.921040481358748</v>
          </cell>
          <cell r="K188">
            <v>28.138368235984842</v>
          </cell>
          <cell r="M188">
            <v>44.65</v>
          </cell>
          <cell r="O188">
            <v>0</v>
          </cell>
          <cell r="Q188">
            <v>0</v>
          </cell>
          <cell r="S188">
            <v>0</v>
          </cell>
          <cell r="U188">
            <v>0</v>
          </cell>
          <cell r="W188">
            <v>0</v>
          </cell>
        </row>
        <row r="189">
          <cell r="G189" t="str">
            <v>Safety barrier H1 W4 designed to impact one side only straight or curved exceeding 120 metres radius.</v>
          </cell>
          <cell r="H189" t="str">
            <v>m</v>
          </cell>
          <cell r="I189">
            <v>78.795899668982813</v>
          </cell>
          <cell r="K189">
            <v>79.345463552326407</v>
          </cell>
          <cell r="O189">
            <v>0</v>
          </cell>
          <cell r="Q189">
            <v>0</v>
          </cell>
          <cell r="S189">
            <v>0</v>
          </cell>
          <cell r="U189">
            <v>0</v>
          </cell>
          <cell r="W189">
            <v>0</v>
          </cell>
        </row>
        <row r="190">
          <cell r="G190" t="str">
            <v>Safety barrier H2 W4 designed to impact one side only straight or curved exceeding 120 metres radius.</v>
          </cell>
          <cell r="H190" t="str">
            <v>m</v>
          </cell>
          <cell r="I190">
            <v>77.944733050279694</v>
          </cell>
          <cell r="K190">
            <v>78.302697606580082</v>
          </cell>
          <cell r="O190">
            <v>0</v>
          </cell>
          <cell r="Q190">
            <v>0</v>
          </cell>
          <cell r="S190">
            <v>0</v>
          </cell>
          <cell r="U190">
            <v>0</v>
          </cell>
          <cell r="W190">
            <v>0</v>
          </cell>
        </row>
        <row r="191">
          <cell r="G191" t="str">
            <v>Safety barrier H2 W5 designed to impact one side only straight or curved exceeding 120 metres radius.</v>
          </cell>
          <cell r="H191" t="str">
            <v>m</v>
          </cell>
          <cell r="I191">
            <v>78.795899668982813</v>
          </cell>
          <cell r="K191">
            <v>79.345463552326407</v>
          </cell>
          <cell r="O191">
            <v>0</v>
          </cell>
          <cell r="Q191">
            <v>0</v>
          </cell>
          <cell r="S191">
            <v>0</v>
          </cell>
          <cell r="U191">
            <v>0</v>
          </cell>
          <cell r="W191">
            <v>0</v>
          </cell>
        </row>
        <row r="192">
          <cell r="G192" t="str">
            <v>Safety barrier H2 W6 designed to impact one side only straight or curved exceeding 120 metres radius.</v>
          </cell>
          <cell r="H192" t="str">
            <v>m</v>
          </cell>
          <cell r="I192">
            <v>78.795899668982813</v>
          </cell>
          <cell r="K192">
            <v>79.345463552326407</v>
          </cell>
          <cell r="O192">
            <v>0</v>
          </cell>
          <cell r="Q192">
            <v>0</v>
          </cell>
          <cell r="S192">
            <v>0</v>
          </cell>
          <cell r="U192">
            <v>0</v>
          </cell>
          <cell r="W192">
            <v>0</v>
          </cell>
        </row>
        <row r="193">
          <cell r="G193" t="str">
            <v>Safety barrier H2 W7 designed to impact one side only straight or curved exceeding 120 metres radius.</v>
          </cell>
          <cell r="H193" t="str">
            <v>m</v>
          </cell>
          <cell r="I193">
            <v>78.795899668982813</v>
          </cell>
          <cell r="K193">
            <v>79.345463552326407</v>
          </cell>
          <cell r="O193">
            <v>0</v>
          </cell>
          <cell r="Q193">
            <v>0</v>
          </cell>
          <cell r="S193">
            <v>0</v>
          </cell>
          <cell r="U193">
            <v>0</v>
          </cell>
          <cell r="W193">
            <v>0</v>
          </cell>
        </row>
        <row r="194">
          <cell r="G194" t="str">
            <v>Safety barrier N2 W2 designed to impact on both sides straight or curved exceeding 120 metres radius.</v>
          </cell>
          <cell r="H194" t="str">
            <v>m</v>
          </cell>
          <cell r="I194">
            <v>58.635506841680623</v>
          </cell>
          <cell r="K194">
            <v>59.227710758509623</v>
          </cell>
          <cell r="O194">
            <v>0</v>
          </cell>
          <cell r="Q194">
            <v>0</v>
          </cell>
          <cell r="S194">
            <v>0</v>
          </cell>
          <cell r="U194">
            <v>0</v>
          </cell>
          <cell r="W194">
            <v>0</v>
          </cell>
        </row>
        <row r="195">
          <cell r="G195" t="str">
            <v>Safety barrier N2 W3 designed to impact on both sides straight or curved exceeding 120 metres radius.</v>
          </cell>
          <cell r="H195" t="str">
            <v>m</v>
          </cell>
          <cell r="I195">
            <v>58.133156404008751</v>
          </cell>
          <cell r="K195">
            <v>58.622331728167275</v>
          </cell>
          <cell r="O195">
            <v>0</v>
          </cell>
          <cell r="Q195">
            <v>0</v>
          </cell>
          <cell r="S195">
            <v>0</v>
          </cell>
          <cell r="U195">
            <v>0</v>
          </cell>
          <cell r="W195">
            <v>0</v>
          </cell>
        </row>
        <row r="196">
          <cell r="G196" t="str">
            <v>Safety barrier N2 W4 designed to impact on both sides straight or curved exceeding 120 metres radius.</v>
          </cell>
          <cell r="H196" t="str">
            <v>m</v>
          </cell>
          <cell r="I196">
            <v>43.159379422190312</v>
          </cell>
          <cell r="K196">
            <v>43.369372947029916</v>
          </cell>
          <cell r="O196">
            <v>0</v>
          </cell>
          <cell r="Q196">
            <v>0</v>
          </cell>
          <cell r="S196">
            <v>0</v>
          </cell>
          <cell r="U196">
            <v>0</v>
          </cell>
          <cell r="W196">
            <v>0</v>
          </cell>
        </row>
        <row r="197">
          <cell r="G197" t="str">
            <v>Safety barrier N2 W5 designed to impact on both sides straight or curved exceeding 120 metres radius.</v>
          </cell>
          <cell r="H197" t="str">
            <v>m</v>
          </cell>
          <cell r="I197">
            <v>42.134000825697811</v>
          </cell>
          <cell r="K197">
            <v>42.30473722103315</v>
          </cell>
          <cell r="O197">
            <v>0</v>
          </cell>
          <cell r="Q197">
            <v>0</v>
          </cell>
          <cell r="S197">
            <v>0</v>
          </cell>
          <cell r="U197">
            <v>0</v>
          </cell>
          <cell r="W197">
            <v>0</v>
          </cell>
        </row>
        <row r="198">
          <cell r="G198" t="str">
            <v>Safety barrier N2 W6 designed to impact on both sides straight or curved exceeding 120 metres radius.</v>
          </cell>
          <cell r="H198" t="str">
            <v>m</v>
          </cell>
          <cell r="I198">
            <v>42.060657569875936</v>
          </cell>
          <cell r="K198">
            <v>42.222238163382571</v>
          </cell>
          <cell r="O198">
            <v>0</v>
          </cell>
          <cell r="Q198">
            <v>0</v>
          </cell>
          <cell r="S198">
            <v>0</v>
          </cell>
          <cell r="U198">
            <v>0</v>
          </cell>
          <cell r="W198">
            <v>0</v>
          </cell>
        </row>
        <row r="199">
          <cell r="G199" t="str">
            <v>Safety barrier H2 W8 designed to impact on both sides straight or curved exceeding 120 metres radius.</v>
          </cell>
          <cell r="H199" t="str">
            <v>m</v>
          </cell>
          <cell r="I199">
            <v>219.79246589637498</v>
          </cell>
          <cell r="K199">
            <v>236.34331247410199</v>
          </cell>
          <cell r="O199">
            <v>0</v>
          </cell>
          <cell r="Q199">
            <v>0</v>
          </cell>
          <cell r="S199">
            <v>0</v>
          </cell>
          <cell r="U199">
            <v>0</v>
          </cell>
          <cell r="W199">
            <v>0</v>
          </cell>
        </row>
        <row r="200">
          <cell r="G200" t="str">
            <v>Extra over N2 safety barrier for curved exceeding 50 metres radius but not exceeding 120 metres radius.</v>
          </cell>
          <cell r="H200" t="str">
            <v>m</v>
          </cell>
          <cell r="I200">
            <v>2.7367600008081245</v>
          </cell>
          <cell r="K200">
            <v>4.4290117873798893</v>
          </cell>
          <cell r="O200">
            <v>0</v>
          </cell>
          <cell r="Q200">
            <v>0</v>
          </cell>
          <cell r="S200">
            <v>0</v>
          </cell>
          <cell r="U200">
            <v>0</v>
          </cell>
          <cell r="W200">
            <v>0</v>
          </cell>
        </row>
        <row r="201">
          <cell r="G201" t="str">
            <v>Extra over H1 safety barrier for curved exceeding 50 metres radius but not exceeding 120 metres radius.</v>
          </cell>
          <cell r="H201" t="str">
            <v>m</v>
          </cell>
          <cell r="I201">
            <v>4.2033088856349998</v>
          </cell>
          <cell r="K201">
            <v>7.752892410219558</v>
          </cell>
          <cell r="O201">
            <v>0</v>
          </cell>
          <cell r="Q201">
            <v>0</v>
          </cell>
          <cell r="S201">
            <v>0</v>
          </cell>
          <cell r="U201">
            <v>0</v>
          </cell>
          <cell r="W201">
            <v>0</v>
          </cell>
        </row>
        <row r="202">
          <cell r="G202" t="str">
            <v>Extra over H2 safety barrier for curved exceeding 50 metres radius but not exceeding 120 metres radius.</v>
          </cell>
          <cell r="H202" t="str">
            <v>m</v>
          </cell>
          <cell r="I202">
            <v>4.2033088856349998</v>
          </cell>
          <cell r="K202">
            <v>7.752892410219558</v>
          </cell>
          <cell r="O202">
            <v>0</v>
          </cell>
          <cell r="Q202">
            <v>0</v>
          </cell>
          <cell r="S202">
            <v>0</v>
          </cell>
          <cell r="U202">
            <v>0</v>
          </cell>
          <cell r="W202">
            <v>0</v>
          </cell>
        </row>
        <row r="203">
          <cell r="G203" t="str">
            <v>Extra over N2 safety barrier for curved curved not exceeding 50 metres radius.</v>
          </cell>
          <cell r="H203" t="str">
            <v>m</v>
          </cell>
          <cell r="I203">
            <v>28.116257383614371</v>
          </cell>
          <cell r="K203">
            <v>50.173480612982637</v>
          </cell>
          <cell r="O203">
            <v>0</v>
          </cell>
          <cell r="Q203">
            <v>0</v>
          </cell>
          <cell r="S203">
            <v>0</v>
          </cell>
          <cell r="U203">
            <v>0</v>
          </cell>
          <cell r="W203">
            <v>0</v>
          </cell>
        </row>
        <row r="204">
          <cell r="G204" t="str">
            <v>Extra over H1 safety barrier for curved curved not exceeding 50 metres radius.</v>
          </cell>
          <cell r="H204" t="str">
            <v>m</v>
          </cell>
          <cell r="I204">
            <v>42.456387771050629</v>
          </cell>
          <cell r="K204">
            <v>62.147652068665138</v>
          </cell>
          <cell r="O204">
            <v>0</v>
          </cell>
          <cell r="Q204">
            <v>0</v>
          </cell>
          <cell r="S204">
            <v>0</v>
          </cell>
          <cell r="U204">
            <v>0</v>
          </cell>
          <cell r="W204">
            <v>0</v>
          </cell>
        </row>
        <row r="205">
          <cell r="G205" t="str">
            <v>Extra over H2 safety barrier for curved curved not exceeding 50 metres radius.</v>
          </cell>
          <cell r="H205" t="str">
            <v>m</v>
          </cell>
          <cell r="I205">
            <v>42.456387771050629</v>
          </cell>
          <cell r="K205">
            <v>62.147652068665138</v>
          </cell>
          <cell r="O205">
            <v>0</v>
          </cell>
          <cell r="Q205">
            <v>0</v>
          </cell>
          <cell r="S205">
            <v>0</v>
          </cell>
          <cell r="U205">
            <v>0</v>
          </cell>
          <cell r="W205">
            <v>0</v>
          </cell>
        </row>
        <row r="206">
          <cell r="G206" t="str">
            <v>Establishment costs for concrete step barrier (CSB) operations</v>
          </cell>
          <cell r="H206" t="str">
            <v>item</v>
          </cell>
          <cell r="I206">
            <v>4199.4547480360297</v>
          </cell>
          <cell r="K206">
            <v>4560.9363777374883</v>
          </cell>
          <cell r="O206">
            <v>0</v>
          </cell>
          <cell r="Q206">
            <v>0</v>
          </cell>
          <cell r="S206">
            <v>0</v>
          </cell>
          <cell r="U206">
            <v>0</v>
          </cell>
          <cell r="W206">
            <v>0</v>
          </cell>
        </row>
        <row r="207">
          <cell r="G207" t="str">
            <v>Rigid concrete barrier H2 W2 designed to impact on both sides straight or curved exceeding 120 metres radius.</v>
          </cell>
          <cell r="H207" t="str">
            <v>m</v>
          </cell>
          <cell r="I207">
            <v>81.761802769456665</v>
          </cell>
          <cell r="K207">
            <v>89.453318503410898</v>
          </cell>
          <cell r="O207">
            <v>0</v>
          </cell>
          <cell r="Q207">
            <v>0</v>
          </cell>
          <cell r="S207">
            <v>0</v>
          </cell>
          <cell r="U207">
            <v>0</v>
          </cell>
          <cell r="W207">
            <v>0</v>
          </cell>
        </row>
        <row r="208">
          <cell r="G208" t="str">
            <v>Rigid concrete barrier H2 W3 designed to impact on both sides straight or curved exceeding 120 metres radius.</v>
          </cell>
          <cell r="H208" t="str">
            <v>m</v>
          </cell>
          <cell r="I208">
            <v>146.95611259737316</v>
          </cell>
          <cell r="K208">
            <v>154.26409177899237</v>
          </cell>
          <cell r="O208">
            <v>0</v>
          </cell>
          <cell r="Q208">
            <v>0</v>
          </cell>
          <cell r="S208">
            <v>0</v>
          </cell>
          <cell r="U208">
            <v>0</v>
          </cell>
          <cell r="W208">
            <v>0</v>
          </cell>
        </row>
        <row r="209">
          <cell r="G209" t="str">
            <v>Rigid concrete barrier bifurcation (15m length)</v>
          </cell>
          <cell r="H209" t="str">
            <v>no</v>
          </cell>
          <cell r="I209">
            <v>5106.1260265313676</v>
          </cell>
          <cell r="K209">
            <v>5538.3148264961037</v>
          </cell>
          <cell r="O209">
            <v>0</v>
          </cell>
          <cell r="Q209">
            <v>0</v>
          </cell>
          <cell r="S209">
            <v>0</v>
          </cell>
          <cell r="U209">
            <v>0</v>
          </cell>
          <cell r="W209">
            <v>0</v>
          </cell>
        </row>
        <row r="210">
          <cell r="G210" t="str">
            <v>Extra over rigid concrete barrier for lighting column mounting</v>
          </cell>
          <cell r="H210" t="str">
            <v>no</v>
          </cell>
          <cell r="I210">
            <v>592.25444127383366</v>
          </cell>
          <cell r="K210">
            <v>681.21713579568814</v>
          </cell>
          <cell r="O210">
            <v>0</v>
          </cell>
          <cell r="Q210">
            <v>0</v>
          </cell>
          <cell r="S210">
            <v>0</v>
          </cell>
          <cell r="U210">
            <v>0</v>
          </cell>
          <cell r="W210">
            <v>0</v>
          </cell>
        </row>
        <row r="211">
          <cell r="G211" t="str">
            <v>Demountable steel barrier H2 W2 designed to impact on both sides (5.4m length)</v>
          </cell>
          <cell r="H211" t="str">
            <v>no</v>
          </cell>
          <cell r="I211">
            <v>4355.5932755236154</v>
          </cell>
          <cell r="K211">
            <v>5511.7128546166377</v>
          </cell>
          <cell r="O211">
            <v>0</v>
          </cell>
          <cell r="Q211">
            <v>0</v>
          </cell>
          <cell r="S211">
            <v>0</v>
          </cell>
          <cell r="U211">
            <v>0</v>
          </cell>
          <cell r="W211">
            <v>0</v>
          </cell>
        </row>
        <row r="212">
          <cell r="G212" t="str">
            <v>End sections to demountable steel barrier</v>
          </cell>
          <cell r="H212" t="str">
            <v>no</v>
          </cell>
          <cell r="I212">
            <v>1932.2781040788518</v>
          </cell>
          <cell r="K212">
            <v>2564.0684747485807</v>
          </cell>
          <cell r="O212">
            <v>0</v>
          </cell>
          <cell r="Q212">
            <v>0</v>
          </cell>
          <cell r="S212">
            <v>0</v>
          </cell>
          <cell r="U212">
            <v>0</v>
          </cell>
          <cell r="W212">
            <v>0</v>
          </cell>
        </row>
        <row r="213">
          <cell r="O213">
            <v>0</v>
          </cell>
          <cell r="Q213">
            <v>0</v>
          </cell>
          <cell r="S213">
            <v>0</v>
          </cell>
          <cell r="U213">
            <v>0</v>
          </cell>
          <cell r="W213">
            <v>0</v>
          </cell>
        </row>
        <row r="215">
          <cell r="G215" t="str">
            <v>&lt;Select&gt;</v>
          </cell>
          <cell r="I215" t="str">
            <v/>
          </cell>
        </row>
        <row r="216">
          <cell r="G216" t="str">
            <v>P1 terminal</v>
          </cell>
          <cell r="H216" t="str">
            <v>no</v>
          </cell>
          <cell r="I216">
            <v>1000</v>
          </cell>
          <cell r="K216">
            <v>1200</v>
          </cell>
          <cell r="O216">
            <v>0</v>
          </cell>
          <cell r="Q216">
            <v>0</v>
          </cell>
          <cell r="S216">
            <v>0</v>
          </cell>
          <cell r="U216">
            <v>0</v>
          </cell>
          <cell r="W216">
            <v>0</v>
          </cell>
        </row>
        <row r="217">
          <cell r="G217" t="str">
            <v>P4 terminal</v>
          </cell>
          <cell r="H217" t="str">
            <v>no</v>
          </cell>
          <cell r="I217">
            <v>2500</v>
          </cell>
          <cell r="K217">
            <v>3000</v>
          </cell>
          <cell r="O217">
            <v>0</v>
          </cell>
          <cell r="Q217">
            <v>0</v>
          </cell>
          <cell r="S217">
            <v>0</v>
          </cell>
          <cell r="U217">
            <v>0</v>
          </cell>
          <cell r="W217">
            <v>0</v>
          </cell>
        </row>
        <row r="218">
          <cell r="O218">
            <v>0</v>
          </cell>
          <cell r="Q218">
            <v>0</v>
          </cell>
          <cell r="S218">
            <v>0</v>
          </cell>
          <cell r="U218">
            <v>0</v>
          </cell>
          <cell r="W218">
            <v>0</v>
          </cell>
        </row>
        <row r="219">
          <cell r="I219" t="str">
            <v/>
          </cell>
        </row>
        <row r="220">
          <cell r="G220" t="str">
            <v>&lt;Select&gt;</v>
          </cell>
          <cell r="I220" t="str">
            <v/>
          </cell>
        </row>
        <row r="221">
          <cell r="G221" t="str">
            <v>Transition from CSB to steel beam (2m length)</v>
          </cell>
          <cell r="H221" t="str">
            <v>no</v>
          </cell>
          <cell r="I221">
            <v>2140.487264043375</v>
          </cell>
          <cell r="K221">
            <v>2410.9401696081782</v>
          </cell>
          <cell r="O221">
            <v>0</v>
          </cell>
          <cell r="Q221">
            <v>0</v>
          </cell>
          <cell r="S221">
            <v>0</v>
          </cell>
          <cell r="U221">
            <v>0</v>
          </cell>
          <cell r="W221">
            <v>0</v>
          </cell>
        </row>
        <row r="222">
          <cell r="G222" t="str">
            <v>CSB connection to concrete structure (6m length)</v>
          </cell>
          <cell r="H222" t="str">
            <v>no</v>
          </cell>
          <cell r="I222">
            <v>2769.2198006479875</v>
          </cell>
          <cell r="K222">
            <v>2837.5074244654775</v>
          </cell>
          <cell r="O222">
            <v>0</v>
          </cell>
          <cell r="Q222">
            <v>0</v>
          </cell>
          <cell r="S222">
            <v>0</v>
          </cell>
          <cell r="U222">
            <v>0</v>
          </cell>
          <cell r="W222">
            <v>0</v>
          </cell>
        </row>
        <row r="223">
          <cell r="G223" t="str">
            <v>Transition from TCB to OBB</v>
          </cell>
          <cell r="H223" t="str">
            <v>no</v>
          </cell>
          <cell r="I223">
            <v>235.52571028966875</v>
          </cell>
          <cell r="K223">
            <v>392.33617179693209</v>
          </cell>
          <cell r="M223">
            <v>618.39</v>
          </cell>
          <cell r="O223">
            <v>0</v>
          </cell>
          <cell r="Q223">
            <v>0</v>
          </cell>
          <cell r="S223">
            <v>0</v>
          </cell>
          <cell r="U223">
            <v>0</v>
          </cell>
          <cell r="W223">
            <v>0</v>
          </cell>
        </row>
        <row r="224">
          <cell r="G224" t="str">
            <v>Single sided double rail transitions</v>
          </cell>
          <cell r="H224" t="str">
            <v>no</v>
          </cell>
          <cell r="I224">
            <v>1862.4968283549185</v>
          </cell>
          <cell r="K224">
            <v>1925.3320862629632</v>
          </cell>
          <cell r="O224">
            <v>0</v>
          </cell>
          <cell r="Q224">
            <v>0</v>
          </cell>
          <cell r="S224">
            <v>0</v>
          </cell>
          <cell r="U224">
            <v>0</v>
          </cell>
          <cell r="W224">
            <v>0</v>
          </cell>
        </row>
        <row r="225">
          <cell r="O225">
            <v>0</v>
          </cell>
          <cell r="Q225">
            <v>0</v>
          </cell>
          <cell r="S225">
            <v>0</v>
          </cell>
          <cell r="U225">
            <v>0</v>
          </cell>
          <cell r="W225">
            <v>0</v>
          </cell>
        </row>
        <row r="226">
          <cell r="I226" t="str">
            <v/>
          </cell>
        </row>
        <row r="227">
          <cell r="G227" t="str">
            <v>&lt;Select&gt;</v>
          </cell>
          <cell r="I227" t="str">
            <v/>
          </cell>
        </row>
        <row r="228">
          <cell r="I228" t="str">
            <v/>
          </cell>
        </row>
        <row r="229">
          <cell r="G229" t="str">
            <v>&lt;Select&gt;</v>
          </cell>
          <cell r="I229" t="str">
            <v/>
          </cell>
        </row>
        <row r="230">
          <cell r="G230" t="str">
            <v>Metal Parapet Group P1 straight or curved exceeding 50 metres in radius</v>
          </cell>
          <cell r="H230" t="str">
            <v>m</v>
          </cell>
          <cell r="I230">
            <v>154.18164960401126</v>
          </cell>
          <cell r="K230">
            <v>156.1216795445751</v>
          </cell>
          <cell r="M230">
            <v>183.25</v>
          </cell>
          <cell r="O230">
            <v>0</v>
          </cell>
          <cell r="Q230">
            <v>0</v>
          </cell>
          <cell r="S230">
            <v>0</v>
          </cell>
          <cell r="U230">
            <v>0</v>
          </cell>
          <cell r="W230">
            <v>0</v>
          </cell>
        </row>
        <row r="231">
          <cell r="G231" t="str">
            <v>Metal Parapet with mesh infill Group P2 straight or curved exceeding 50 metres in radius</v>
          </cell>
          <cell r="H231" t="str">
            <v>m</v>
          </cell>
          <cell r="I231">
            <v>179.38931734913123</v>
          </cell>
          <cell r="K231">
            <v>181.86512847217236</v>
          </cell>
          <cell r="M231">
            <v>198.51</v>
          </cell>
          <cell r="O231">
            <v>0</v>
          </cell>
          <cell r="Q231">
            <v>0</v>
          </cell>
          <cell r="S231">
            <v>0</v>
          </cell>
          <cell r="U231">
            <v>0</v>
          </cell>
          <cell r="W231">
            <v>0</v>
          </cell>
        </row>
        <row r="232">
          <cell r="G232" t="str">
            <v>Metal parapets with mesh infill Group P5 straight or curved exceeding 50 metres radius</v>
          </cell>
          <cell r="H232" t="str">
            <v>m</v>
          </cell>
          <cell r="I232">
            <v>229.8558348568103</v>
          </cell>
          <cell r="K232">
            <v>235.76113168948027</v>
          </cell>
          <cell r="M232">
            <v>220</v>
          </cell>
          <cell r="O232">
            <v>0</v>
          </cell>
          <cell r="Q232">
            <v>0</v>
          </cell>
          <cell r="S232">
            <v>0</v>
          </cell>
          <cell r="U232">
            <v>0</v>
          </cell>
          <cell r="W232">
            <v>0</v>
          </cell>
        </row>
        <row r="233">
          <cell r="G233" t="str">
            <v>Metal parapets with solid infill Group P5 straight or curved exceeding 50 metres radius</v>
          </cell>
          <cell r="H233" t="str">
            <v>m</v>
          </cell>
          <cell r="I233">
            <v>303.73077665009623</v>
          </cell>
          <cell r="K233">
            <v>308.90651276413899</v>
          </cell>
          <cell r="M233">
            <v>259.60000000000002</v>
          </cell>
          <cell r="O233">
            <v>0</v>
          </cell>
          <cell r="Q233">
            <v>0</v>
          </cell>
          <cell r="S233">
            <v>0</v>
          </cell>
          <cell r="U233">
            <v>0</v>
          </cell>
          <cell r="W233">
            <v>0</v>
          </cell>
        </row>
        <row r="234">
          <cell r="G234" t="str">
            <v>Metal parapets with solid infill Group P6 straight or curved exceeding 50 metres radius</v>
          </cell>
          <cell r="H234" t="str">
            <v>m</v>
          </cell>
          <cell r="I234">
            <v>824.14198481432504</v>
          </cell>
          <cell r="K234">
            <v>832.7628571444734</v>
          </cell>
          <cell r="O234">
            <v>0</v>
          </cell>
          <cell r="Q234">
            <v>0</v>
          </cell>
          <cell r="S234">
            <v>0</v>
          </cell>
          <cell r="U234">
            <v>0</v>
          </cell>
          <cell r="W234">
            <v>0</v>
          </cell>
        </row>
        <row r="235">
          <cell r="O235">
            <v>0</v>
          </cell>
          <cell r="Q235">
            <v>0</v>
          </cell>
          <cell r="S235">
            <v>0</v>
          </cell>
          <cell r="U235">
            <v>0</v>
          </cell>
          <cell r="W235">
            <v>0</v>
          </cell>
        </row>
        <row r="237">
          <cell r="G237" t="str">
            <v>&lt;Select&gt;</v>
          </cell>
          <cell r="I237" t="str">
            <v/>
          </cell>
        </row>
        <row r="238">
          <cell r="G238" t="str">
            <v>Pedestrian Guardrail, Tubular galvanised steel handrail 1.2m high</v>
          </cell>
          <cell r="H238" t="str">
            <v>m</v>
          </cell>
          <cell r="I238">
            <v>59</v>
          </cell>
          <cell r="K238">
            <v>70.8</v>
          </cell>
          <cell r="M238">
            <v>180.61</v>
          </cell>
          <cell r="O238">
            <v>227.28747120000003</v>
          </cell>
          <cell r="Q238">
            <v>218.95803120000002</v>
          </cell>
          <cell r="S238">
            <v>1.3094400000000002</v>
          </cell>
          <cell r="U238">
            <v>7.02</v>
          </cell>
          <cell r="W238">
            <v>255</v>
          </cell>
        </row>
        <row r="240">
          <cell r="G240" t="str">
            <v>&lt;Select&gt;</v>
          </cell>
          <cell r="I240" t="str">
            <v/>
          </cell>
        </row>
        <row r="242">
          <cell r="G242" t="str">
            <v>&lt;Select&gt;</v>
          </cell>
          <cell r="I242" t="str">
            <v/>
          </cell>
        </row>
        <row r="244">
          <cell r="G244" t="str">
            <v>&lt;Select&gt;</v>
          </cell>
          <cell r="I244" t="str">
            <v/>
          </cell>
        </row>
        <row r="246">
          <cell r="G246" t="str">
            <v>&lt;Select&gt;</v>
          </cell>
          <cell r="I246" t="str">
            <v/>
          </cell>
        </row>
        <row r="247">
          <cell r="I247" t="str">
            <v/>
          </cell>
        </row>
        <row r="248">
          <cell r="G248" t="str">
            <v>&lt;Select&gt;</v>
          </cell>
          <cell r="I248" t="str">
            <v/>
          </cell>
        </row>
        <row r="249">
          <cell r="G249" t="str">
            <v>Temporary concrete safety barrier intermediate section</v>
          </cell>
          <cell r="H249" t="str">
            <v>no</v>
          </cell>
          <cell r="I249">
            <v>154.35491446549997</v>
          </cell>
          <cell r="K249">
            <v>167.77533488115671</v>
          </cell>
          <cell r="M249">
            <v>382.8</v>
          </cell>
        </row>
        <row r="250">
          <cell r="G250" t="str">
            <v>Temporary concrete safety barrier termination</v>
          </cell>
          <cell r="H250" t="str">
            <v>no</v>
          </cell>
          <cell r="I250">
            <v>239.74275029424996</v>
          </cell>
          <cell r="K250">
            <v>316.53935840395604</v>
          </cell>
          <cell r="M250">
            <v>456.86</v>
          </cell>
        </row>
        <row r="251">
          <cell r="G251" t="str">
            <v>Maintain temporary concrete safety barrier, intermediate section</v>
          </cell>
          <cell r="H251" t="str">
            <v>week</v>
          </cell>
          <cell r="I251">
            <v>3.6126479337499999</v>
          </cell>
          <cell r="K251">
            <v>3.8906629958566361</v>
          </cell>
        </row>
        <row r="252">
          <cell r="G252" t="str">
            <v>Maintain temporary concrete safety barrier, terminal section</v>
          </cell>
          <cell r="H252" t="str">
            <v>week</v>
          </cell>
          <cell r="I252">
            <v>4.0166729337499998</v>
          </cell>
          <cell r="K252">
            <v>4.7012767528968267</v>
          </cell>
        </row>
        <row r="253">
          <cell r="I253" t="str">
            <v/>
          </cell>
        </row>
        <row r="254">
          <cell r="I254" t="str">
            <v/>
          </cell>
        </row>
        <row r="255">
          <cell r="I255" t="str">
            <v/>
          </cell>
        </row>
        <row r="256">
          <cell r="G256" t="str">
            <v>&lt;Select&gt;</v>
          </cell>
          <cell r="I256" t="str">
            <v/>
          </cell>
        </row>
        <row r="257">
          <cell r="I257" t="str">
            <v/>
          </cell>
        </row>
        <row r="258">
          <cell r="G258" t="str">
            <v>&lt;Select&gt;</v>
          </cell>
          <cell r="I258" t="str">
            <v/>
          </cell>
        </row>
        <row r="259">
          <cell r="G259" t="str">
            <v>150 mm internal diameter drain design group 5 in trench depth to invert not exceeding 2 metres, average depth to invert 1.0 metres</v>
          </cell>
          <cell r="H259" t="str">
            <v>m</v>
          </cell>
          <cell r="I259">
            <v>35.7110011985</v>
          </cell>
          <cell r="K259">
            <v>37.242574967002632</v>
          </cell>
          <cell r="M259">
            <v>46</v>
          </cell>
          <cell r="O259">
            <v>21.708332250000002</v>
          </cell>
          <cell r="Q259">
            <v>16.675492250000001</v>
          </cell>
          <cell r="S259">
            <v>0.84084000000000003</v>
          </cell>
          <cell r="U259">
            <v>4.1920000000000002</v>
          </cell>
          <cell r="W259">
            <v>220</v>
          </cell>
        </row>
        <row r="260">
          <cell r="G260" t="str">
            <v>150 mm internal diameter drain design group Z in trench depth to invert not exceeding 2 metres, average depth to invert 1.0 metres</v>
          </cell>
          <cell r="H260" t="str">
            <v>m</v>
          </cell>
          <cell r="I260">
            <v>61.120595324500002</v>
          </cell>
          <cell r="K260">
            <v>64.497981317295228</v>
          </cell>
          <cell r="M260">
            <v>80.31</v>
          </cell>
          <cell r="O260">
            <v>100.67414037</v>
          </cell>
          <cell r="Q260">
            <v>93.595564370000005</v>
          </cell>
          <cell r="S260">
            <v>2.8865760000000003</v>
          </cell>
          <cell r="U260">
            <v>4.1920000000000002</v>
          </cell>
          <cell r="W260">
            <v>662.8</v>
          </cell>
        </row>
        <row r="261">
          <cell r="G261" t="str">
            <v>150 mm internal diameter drain design group 99 in trench depth to invert not exceeding 2 metres, average depth to invert 1.0 metres</v>
          </cell>
          <cell r="H261" t="str">
            <v>m</v>
          </cell>
          <cell r="I261">
            <v>60.739543324500005</v>
          </cell>
          <cell r="K261">
            <v>64.47096275609799</v>
          </cell>
          <cell r="M261">
            <v>80.31</v>
          </cell>
          <cell r="O261">
            <v>21.708332250000002</v>
          </cell>
          <cell r="Q261">
            <v>16.675492250000001</v>
          </cell>
          <cell r="S261">
            <v>0.84084000000000003</v>
          </cell>
          <cell r="U261">
            <v>4.1920000000000002</v>
          </cell>
          <cell r="W261">
            <v>220</v>
          </cell>
        </row>
        <row r="262">
          <cell r="G262" t="str">
            <v>150 mm internal diameter drain design group 5 in trench depth to invert not exceeding 2 metres, average depth to invert 1.5 metres</v>
          </cell>
          <cell r="H262" t="str">
            <v>m</v>
          </cell>
          <cell r="I262">
            <v>42.638100359124998</v>
          </cell>
          <cell r="K262">
            <v>44.427409702215321</v>
          </cell>
          <cell r="M262">
            <v>48.2</v>
          </cell>
          <cell r="O262">
            <v>21.708332250000002</v>
          </cell>
          <cell r="Q262">
            <v>16.675492250000001</v>
          </cell>
          <cell r="S262">
            <v>0.84084000000000003</v>
          </cell>
          <cell r="U262">
            <v>4.1920000000000002</v>
          </cell>
          <cell r="W262">
            <v>220</v>
          </cell>
        </row>
        <row r="263">
          <cell r="G263" t="str">
            <v>150 mm internal diameter drain design group 99 in trench depth to invert not exceeding 2 metres, average depth to invert 1.5 metres</v>
          </cell>
          <cell r="H263" t="str">
            <v>m</v>
          </cell>
          <cell r="I263">
            <v>72.160754164374993</v>
          </cell>
          <cell r="K263">
            <v>79.385081638688803</v>
          </cell>
          <cell r="M263">
            <v>82.52</v>
          </cell>
          <cell r="O263">
            <v>21.708332250000002</v>
          </cell>
          <cell r="Q263">
            <v>16.675492250000001</v>
          </cell>
          <cell r="S263">
            <v>0.84084000000000003</v>
          </cell>
          <cell r="U263">
            <v>4.1920000000000002</v>
          </cell>
          <cell r="W263">
            <v>220</v>
          </cell>
        </row>
        <row r="264">
          <cell r="G264" t="str">
            <v>150 mm internal diameter drain design group 5 in trench depth to invert not exceeding 2.0 metres, average depth to invert 2.0 metres</v>
          </cell>
          <cell r="H264" t="str">
            <v>m</v>
          </cell>
          <cell r="I264">
            <v>55.092743418124996</v>
          </cell>
          <cell r="K264">
            <v>59.503042759350677</v>
          </cell>
          <cell r="M264">
            <v>51.84</v>
          </cell>
          <cell r="O264">
            <v>21.708332250000002</v>
          </cell>
          <cell r="Q264">
            <v>16.675492250000001</v>
          </cell>
          <cell r="S264">
            <v>0.84084000000000003</v>
          </cell>
          <cell r="U264">
            <v>4.1920000000000002</v>
          </cell>
          <cell r="W264">
            <v>220</v>
          </cell>
        </row>
        <row r="265">
          <cell r="G265" t="str">
            <v>150 mm internal diameter drain design group 99 in trench depth to invert not exceeding 2.0 metres, average depth to invert 2.0 metres</v>
          </cell>
          <cell r="H265" t="str">
            <v>m</v>
          </cell>
          <cell r="I265">
            <v>91.441526449874999</v>
          </cell>
          <cell r="K265">
            <v>105.47551095081431</v>
          </cell>
          <cell r="M265">
            <v>86.16</v>
          </cell>
          <cell r="O265">
            <v>21.708332250000002</v>
          </cell>
          <cell r="Q265">
            <v>16.675492250000001</v>
          </cell>
          <cell r="S265">
            <v>0.84084000000000003</v>
          </cell>
          <cell r="U265">
            <v>4.1920000000000002</v>
          </cell>
          <cell r="W265">
            <v>220</v>
          </cell>
        </row>
        <row r="266">
          <cell r="G266" t="str">
            <v>225 mm internal diameter drain design group 5 in trench depth to invert not exceeding 2.0 metres, average depth to invert 1.0 metres</v>
          </cell>
          <cell r="H266" t="str">
            <v>m</v>
          </cell>
          <cell r="I266">
            <v>47.777824404900002</v>
          </cell>
          <cell r="K266">
            <v>49.266292547866584</v>
          </cell>
          <cell r="M266">
            <v>80</v>
          </cell>
          <cell r="O266">
            <v>35.483507500000002</v>
          </cell>
          <cell r="Q266">
            <v>30.106147499999999</v>
          </cell>
          <cell r="S266">
            <v>1.1853600000000002</v>
          </cell>
          <cell r="U266">
            <v>4.1920000000000002</v>
          </cell>
          <cell r="W266">
            <v>314</v>
          </cell>
        </row>
        <row r="267">
          <cell r="G267" t="str">
            <v>225 mm internal diameter drain design group 5 in trench depth to invert not exceeding 2 metres, average depth to invert 1.5 metres</v>
          </cell>
          <cell r="H267" t="str">
            <v>m</v>
          </cell>
          <cell r="I267">
            <v>53.866897215625002</v>
          </cell>
          <cell r="K267">
            <v>55.35874439746938</v>
          </cell>
          <cell r="M267">
            <v>85.92</v>
          </cell>
          <cell r="O267">
            <v>35.483507500000002</v>
          </cell>
          <cell r="Q267">
            <v>30.106147499999999</v>
          </cell>
          <cell r="S267">
            <v>1.1853600000000002</v>
          </cell>
          <cell r="U267">
            <v>4.1920000000000002</v>
          </cell>
          <cell r="W267">
            <v>314</v>
          </cell>
        </row>
        <row r="268">
          <cell r="G268" t="str">
            <v>225 mm internal diameter drain design group 5 in trench depth to invert not exceeding 2 metres, average depth to invert 2.0 metres</v>
          </cell>
          <cell r="H268" t="str">
            <v>m</v>
          </cell>
          <cell r="I268">
            <v>64.138563136624995</v>
          </cell>
          <cell r="K268">
            <v>66.487126052596778</v>
          </cell>
          <cell r="M268">
            <v>94.83</v>
          </cell>
          <cell r="O268">
            <v>35.483507500000002</v>
          </cell>
          <cell r="Q268">
            <v>30.106147499999999</v>
          </cell>
          <cell r="S268">
            <v>1.1853600000000002</v>
          </cell>
          <cell r="U268">
            <v>4.1920000000000002</v>
          </cell>
          <cell r="W268">
            <v>314</v>
          </cell>
        </row>
        <row r="269">
          <cell r="G269" t="str">
            <v>300 mm internal diameter drain design group 5 in trench depth to invert not exceeding 2 metres, average depth to invert 1.0 metres</v>
          </cell>
          <cell r="H269" t="str">
            <v>m</v>
          </cell>
          <cell r="I269">
            <v>58.242017525750001</v>
          </cell>
          <cell r="K269">
            <v>60.076526396962436</v>
          </cell>
          <cell r="M269">
            <v>119</v>
          </cell>
          <cell r="O269">
            <v>63.1664715</v>
          </cell>
          <cell r="Q269">
            <v>57.401031500000002</v>
          </cell>
          <cell r="S269">
            <v>1.5734400000000002</v>
          </cell>
          <cell r="U269">
            <v>4.1920000000000002</v>
          </cell>
          <cell r="W269">
            <v>427</v>
          </cell>
        </row>
        <row r="270">
          <cell r="G270" t="str">
            <v>300 mm internal diameter drain design group 5 in trench depth to invert not exceeding 2 metres, average depth to invert 1.5 metres</v>
          </cell>
          <cell r="H270" t="str">
            <v>m</v>
          </cell>
          <cell r="I270">
            <v>65.454947300250012</v>
          </cell>
          <cell r="K270">
            <v>67.315615989331576</v>
          </cell>
          <cell r="M270">
            <v>123.54</v>
          </cell>
          <cell r="O270">
            <v>63.1664715</v>
          </cell>
          <cell r="Q270">
            <v>57.401031500000002</v>
          </cell>
          <cell r="S270">
            <v>1.5734400000000002</v>
          </cell>
          <cell r="U270">
            <v>4.1920000000000002</v>
          </cell>
          <cell r="W270">
            <v>427</v>
          </cell>
        </row>
        <row r="271">
          <cell r="G271" t="str">
            <v>300 mm internal diameter drain design group 5 in trench depth to invert not exceeding 2 metres, average depth to invert 2.0 metres</v>
          </cell>
          <cell r="H271" t="str">
            <v>m</v>
          </cell>
          <cell r="I271">
            <v>77.857724645000005</v>
          </cell>
          <cell r="K271">
            <v>81.4453300135592</v>
          </cell>
          <cell r="M271">
            <v>129.38999999999999</v>
          </cell>
          <cell r="O271">
            <v>63.1664715</v>
          </cell>
          <cell r="Q271">
            <v>57.401031500000002</v>
          </cell>
          <cell r="S271">
            <v>1.5734400000000002</v>
          </cell>
          <cell r="U271">
            <v>4.1920000000000002</v>
          </cell>
          <cell r="W271">
            <v>427</v>
          </cell>
        </row>
        <row r="272">
          <cell r="G272" t="str">
            <v>375 mm internal diameter drain design group 5 in trench depth to invert not exceeding 2 metres, average depth to invert 1.0 metres</v>
          </cell>
          <cell r="H272" t="str">
            <v>m</v>
          </cell>
          <cell r="I272">
            <v>67.967789059875003</v>
          </cell>
          <cell r="K272">
            <v>69.934091974453295</v>
          </cell>
          <cell r="O272">
            <v>80.631325000000004</v>
          </cell>
          <cell r="Q272">
            <v>74.469885000000005</v>
          </cell>
          <cell r="S272">
            <v>1.9694400000000001</v>
          </cell>
          <cell r="U272">
            <v>4.1920000000000002</v>
          </cell>
          <cell r="W272">
            <v>536</v>
          </cell>
        </row>
        <row r="273">
          <cell r="G273" t="str">
            <v>375 mm internal diameter drain design group 5 in trench depth to invert not exceeding 2 metres, average depth to invert 1.5 metres</v>
          </cell>
          <cell r="H273" t="str">
            <v>m</v>
          </cell>
          <cell r="I273">
            <v>75.231112897499997</v>
          </cell>
          <cell r="K273">
            <v>77.157474502291777</v>
          </cell>
          <cell r="O273">
            <v>80.631325000000004</v>
          </cell>
          <cell r="Q273">
            <v>74.469885000000005</v>
          </cell>
          <cell r="S273">
            <v>1.9694400000000001</v>
          </cell>
          <cell r="U273">
            <v>4.1920000000000002</v>
          </cell>
          <cell r="W273">
            <v>536</v>
          </cell>
        </row>
        <row r="274">
          <cell r="G274" t="str">
            <v>375 mm internal diameter drain design group 5 in trench depth to invert not exceeding 2 metres, average depth to invert 2.0 metres</v>
          </cell>
          <cell r="H274" t="str">
            <v>m</v>
          </cell>
          <cell r="I274">
            <v>87.945955717375</v>
          </cell>
          <cell r="K274">
            <v>91.704865448856864</v>
          </cell>
          <cell r="O274">
            <v>80.631325000000004</v>
          </cell>
          <cell r="Q274">
            <v>74.469885000000005</v>
          </cell>
          <cell r="S274">
            <v>1.9694400000000001</v>
          </cell>
          <cell r="U274">
            <v>4.1920000000000002</v>
          </cell>
          <cell r="W274">
            <v>536</v>
          </cell>
        </row>
        <row r="275">
          <cell r="G275" t="str">
            <v>450 mm internal diameter drain design group 5 in trench depth to invert not exceeding 2 metres, average depth to invert 1.0 metres</v>
          </cell>
          <cell r="H275" t="str">
            <v>m</v>
          </cell>
          <cell r="I275">
            <v>75.695447061250007</v>
          </cell>
          <cell r="K275">
            <v>79.564763479340513</v>
          </cell>
          <cell r="M275">
            <v>95</v>
          </cell>
          <cell r="O275">
            <v>111.147651</v>
          </cell>
          <cell r="Q275">
            <v>104.492531</v>
          </cell>
          <cell r="S275">
            <v>2.46312</v>
          </cell>
          <cell r="U275">
            <v>4.1920000000000002</v>
          </cell>
          <cell r="W275">
            <v>677</v>
          </cell>
        </row>
        <row r="276">
          <cell r="G276" t="str">
            <v>450 mm internal diameter drain design group 5 in trench depth to invert not exceeding 2 metres, average depth to invert 1.5 metres</v>
          </cell>
          <cell r="H276" t="str">
            <v>m</v>
          </cell>
          <cell r="I276">
            <v>84.075055365000011</v>
          </cell>
          <cell r="K276">
            <v>87.437644934599462</v>
          </cell>
          <cell r="M276">
            <v>100</v>
          </cell>
          <cell r="O276">
            <v>111.147651</v>
          </cell>
          <cell r="Q276">
            <v>104.492531</v>
          </cell>
          <cell r="S276">
            <v>2.46312</v>
          </cell>
          <cell r="U276">
            <v>4.1920000000000002</v>
          </cell>
          <cell r="W276">
            <v>677</v>
          </cell>
        </row>
        <row r="277">
          <cell r="G277" t="str">
            <v>450 mm internal diameter drain design group 5 in trench depth to invert not exceeding 2 metres, average depth to invert 2.0 metres</v>
          </cell>
          <cell r="H277" t="str">
            <v>m</v>
          </cell>
          <cell r="I277">
            <v>97.458167438125002</v>
          </cell>
          <cell r="K277">
            <v>102.78662375389759</v>
          </cell>
          <cell r="M277">
            <v>105.45</v>
          </cell>
          <cell r="O277">
            <v>111.147651</v>
          </cell>
          <cell r="Q277">
            <v>104.492531</v>
          </cell>
          <cell r="S277">
            <v>2.46312</v>
          </cell>
          <cell r="U277">
            <v>4.1920000000000002</v>
          </cell>
          <cell r="W277">
            <v>677</v>
          </cell>
        </row>
        <row r="278">
          <cell r="G278" t="str">
            <v>600 mm internal diameter drain design group 5 in trench depth to invert not exceeding 2 metres, average depth to invert 1.5 metres</v>
          </cell>
          <cell r="H278" t="str">
            <v>m</v>
          </cell>
          <cell r="I278">
            <v>112.57175889249999</v>
          </cell>
          <cell r="K278">
            <v>116.45611636337492</v>
          </cell>
          <cell r="M278">
            <v>135</v>
          </cell>
          <cell r="O278">
            <v>189.02522500000001</v>
          </cell>
          <cell r="Q278">
            <v>181.213785</v>
          </cell>
          <cell r="S278">
            <v>3.6194400000000004</v>
          </cell>
          <cell r="U278">
            <v>4.1920000000000002</v>
          </cell>
          <cell r="W278">
            <v>1011</v>
          </cell>
        </row>
        <row r="279">
          <cell r="G279" t="str">
            <v>600 mm internal diameter drain design group 5 in trench depth to invert not exceeding 2 metres, average depth to invert 2.0 metres</v>
          </cell>
          <cell r="H279" t="str">
            <v>m</v>
          </cell>
          <cell r="I279">
            <v>128.30052005912498</v>
          </cell>
          <cell r="K279">
            <v>135.40064989156625</v>
          </cell>
          <cell r="M279">
            <v>139.26</v>
          </cell>
          <cell r="O279">
            <v>189.02522500000001</v>
          </cell>
          <cell r="Q279">
            <v>181.213785</v>
          </cell>
          <cell r="S279">
            <v>3.6194400000000004</v>
          </cell>
          <cell r="U279">
            <v>4.1920000000000002</v>
          </cell>
          <cell r="W279">
            <v>1011</v>
          </cell>
        </row>
        <row r="280">
          <cell r="G280" t="str">
            <v>600 mm internal diameter drain design group 5 in trench depth to invert exceeding 2 metres, not exceeding 4 metres, average depth to invert 2.5 metres</v>
          </cell>
          <cell r="H280" t="str">
            <v>m</v>
          </cell>
          <cell r="I280">
            <v>145.54017826137499</v>
          </cell>
          <cell r="K280">
            <v>155.64599414474111</v>
          </cell>
          <cell r="M280">
            <v>145</v>
          </cell>
          <cell r="O280">
            <v>189.02522500000001</v>
          </cell>
          <cell r="Q280">
            <v>181.213785</v>
          </cell>
          <cell r="S280">
            <v>3.6194400000000004</v>
          </cell>
          <cell r="U280">
            <v>4.1920000000000002</v>
          </cell>
          <cell r="W280">
            <v>1011</v>
          </cell>
        </row>
        <row r="281">
          <cell r="G281" t="str">
            <v>One number 100 mm internal diameter upvc service duct Type A to HCD I2 depth to invert not exceeding 2 metres, average depth to invert 0.5 metres</v>
          </cell>
          <cell r="H281" t="str">
            <v>m</v>
          </cell>
          <cell r="I281">
            <v>27.539189681624997</v>
          </cell>
          <cell r="K281">
            <v>28.377731875424566</v>
          </cell>
          <cell r="O281">
            <v>15.644581499999999</v>
          </cell>
          <cell r="Q281">
            <v>10.789941499999999</v>
          </cell>
          <cell r="S281">
            <v>0.66264000000000001</v>
          </cell>
          <cell r="U281">
            <v>4.1920000000000002</v>
          </cell>
          <cell r="W281">
            <v>172</v>
          </cell>
        </row>
        <row r="282">
          <cell r="G282" t="str">
            <v>One number 100 mm internal diameter upvc service duct Type A to HCD I2 depth to invert not exceeding 2 metres, average depth to invert 1.0 metres</v>
          </cell>
          <cell r="H282" t="str">
            <v>m</v>
          </cell>
          <cell r="I282">
            <v>38.973439931125</v>
          </cell>
          <cell r="K282">
            <v>41.272080066996594</v>
          </cell>
          <cell r="M282">
            <v>30.25</v>
          </cell>
          <cell r="O282">
            <v>15.644581499999999</v>
          </cell>
          <cell r="Q282">
            <v>10.789941499999999</v>
          </cell>
          <cell r="S282">
            <v>0.66264000000000001</v>
          </cell>
          <cell r="U282">
            <v>4.1920000000000002</v>
          </cell>
          <cell r="W282">
            <v>172</v>
          </cell>
        </row>
        <row r="283">
          <cell r="G283" t="str">
            <v>One number 100 mm internal diameter upvc service duct Type B to HCD I2 depth to invert not exceeding 2 metres, average depth to invert 1.5 metres</v>
          </cell>
          <cell r="H283" t="str">
            <v>m</v>
          </cell>
          <cell r="I283">
            <v>37.270817688675002</v>
          </cell>
          <cell r="K283">
            <v>41.832028275253947</v>
          </cell>
          <cell r="O283">
            <v>15.644581499999999</v>
          </cell>
          <cell r="Q283">
            <v>10.789941499999999</v>
          </cell>
          <cell r="S283">
            <v>0.66264000000000001</v>
          </cell>
          <cell r="U283">
            <v>4.1920000000000002</v>
          </cell>
          <cell r="W283">
            <v>172</v>
          </cell>
        </row>
        <row r="284">
          <cell r="G284" t="str">
            <v>One number 100 mm internal diameter upvc service duct Type B to HCD I2 depth to invert not exceeding 2 metres, average depth to invert 2.0 metres</v>
          </cell>
          <cell r="H284" t="str">
            <v>m</v>
          </cell>
          <cell r="I284">
            <v>50.111455061425005</v>
          </cell>
          <cell r="K284">
            <v>59.460971841967556</v>
          </cell>
          <cell r="O284">
            <v>15.644581499999999</v>
          </cell>
          <cell r="Q284">
            <v>10.789941499999999</v>
          </cell>
          <cell r="S284">
            <v>0.66264000000000001</v>
          </cell>
          <cell r="U284">
            <v>4.1920000000000002</v>
          </cell>
          <cell r="W284">
            <v>172</v>
          </cell>
        </row>
        <row r="285">
          <cell r="G285" t="str">
            <v>Two number 100 mm internal diameter upvc service ducts Type A to HCD I2 depth to invert not exceeding 2 metres, average depth to invert 0.5 metres</v>
          </cell>
          <cell r="H285" t="str">
            <v>m</v>
          </cell>
          <cell r="I285">
            <v>30.318943831624996</v>
          </cell>
          <cell r="K285">
            <v>30.904923135698752</v>
          </cell>
          <cell r="O285">
            <v>27.097162999999998</v>
          </cell>
          <cell r="Q285">
            <v>21.579882999999999</v>
          </cell>
          <cell r="S285">
            <v>1.32528</v>
          </cell>
          <cell r="U285">
            <v>4.1920000000000002</v>
          </cell>
          <cell r="W285">
            <v>344</v>
          </cell>
        </row>
        <row r="286">
          <cell r="G286" t="str">
            <v>Two number 100 mm internal diameter upvc service ducts Type A to HCD I2 depth to invert not exceeding 2 metres, average depth to invert 1.0 metres</v>
          </cell>
          <cell r="H286" t="str">
            <v>m</v>
          </cell>
          <cell r="I286">
            <v>44.700116139575002</v>
          </cell>
          <cell r="K286">
            <v>46.680267124366004</v>
          </cell>
          <cell r="M286">
            <v>55.68</v>
          </cell>
          <cell r="O286">
            <v>27.097162999999998</v>
          </cell>
          <cell r="Q286">
            <v>21.579882999999999</v>
          </cell>
          <cell r="S286">
            <v>1.32528</v>
          </cell>
          <cell r="U286">
            <v>4.1920000000000002</v>
          </cell>
          <cell r="W286">
            <v>344</v>
          </cell>
        </row>
        <row r="287">
          <cell r="G287" t="str">
            <v>Two number 100 mm internal diameter upvc service ducts Type B to HCD I2 depth to invert not exceeding 2 metres, average depth to invert 1.5 metres</v>
          </cell>
          <cell r="H287" t="str">
            <v>m</v>
          </cell>
          <cell r="I287">
            <v>42.284009971799996</v>
          </cell>
          <cell r="K287">
            <v>46.495443143427764</v>
          </cell>
          <cell r="O287">
            <v>27.097162999999998</v>
          </cell>
          <cell r="Q287">
            <v>21.579882999999999</v>
          </cell>
          <cell r="S287">
            <v>1.32528</v>
          </cell>
          <cell r="U287">
            <v>4.1920000000000002</v>
          </cell>
          <cell r="W287">
            <v>344</v>
          </cell>
        </row>
        <row r="288">
          <cell r="G288" t="str">
            <v>Two number 100 mm internal diameter upvc service ducts Type B to HCD I2 depth to invert not exceeding 2 metres, average depth to invert 2.0 metres</v>
          </cell>
          <cell r="H288" t="str">
            <v>m</v>
          </cell>
          <cell r="I288">
            <v>56.211159395625003</v>
          </cell>
          <cell r="K288">
            <v>65.628772383602339</v>
          </cell>
          <cell r="O288">
            <v>27.097162999999998</v>
          </cell>
          <cell r="Q288">
            <v>21.579882999999999</v>
          </cell>
          <cell r="S288">
            <v>1.32528</v>
          </cell>
          <cell r="U288">
            <v>4.1920000000000002</v>
          </cell>
          <cell r="W288">
            <v>344</v>
          </cell>
        </row>
        <row r="289">
          <cell r="G289" t="str">
            <v>Three number 100 mm internal diameter upvc service ducts Type A to HCD I2 depth to invert not exceeding 2 metres, average depth to invert 0.5 metres</v>
          </cell>
          <cell r="H289" t="str">
            <v>m</v>
          </cell>
          <cell r="I289">
            <v>41.730240785725002</v>
          </cell>
          <cell r="K289">
            <v>43.622961957315056</v>
          </cell>
          <cell r="O289">
            <v>38.549744500000003</v>
          </cell>
          <cell r="Q289">
            <v>32.3698245</v>
          </cell>
          <cell r="S289">
            <v>1.9879200000000001</v>
          </cell>
          <cell r="U289">
            <v>4.1920000000000002</v>
          </cell>
          <cell r="W289">
            <v>516</v>
          </cell>
        </row>
        <row r="290">
          <cell r="G290" t="str">
            <v>Three number 100 mm internal diameter upvc service ducts Type A to HCD I2 depth to invert not exceeding 2 metres, average depth to invert 1.0 metres</v>
          </cell>
          <cell r="H290" t="str">
            <v>m</v>
          </cell>
          <cell r="I290">
            <v>55.575643596999996</v>
          </cell>
          <cell r="K290">
            <v>57.63236524731763</v>
          </cell>
          <cell r="M290">
            <v>77.430000000000007</v>
          </cell>
          <cell r="O290">
            <v>38.549744500000003</v>
          </cell>
          <cell r="Q290">
            <v>32.3698245</v>
          </cell>
          <cell r="S290">
            <v>1.9879200000000001</v>
          </cell>
          <cell r="U290">
            <v>4.1920000000000002</v>
          </cell>
          <cell r="W290">
            <v>516</v>
          </cell>
        </row>
        <row r="291">
          <cell r="G291" t="str">
            <v>Three number 100 mm internal diameter upvc service ducts Type B to HCD I2 depth to invert not exceeding 2 m+B113etres, average depth to invert 1.5 metres</v>
          </cell>
          <cell r="H291" t="str">
            <v>m</v>
          </cell>
          <cell r="I291">
            <v>50.942804998450008</v>
          </cell>
          <cell r="K291">
            <v>56.738853924299555</v>
          </cell>
          <cell r="O291">
            <v>38.549744500000003</v>
          </cell>
          <cell r="Q291">
            <v>32.3698245</v>
          </cell>
          <cell r="S291">
            <v>1.9879200000000001</v>
          </cell>
          <cell r="U291">
            <v>4.1920000000000002</v>
          </cell>
          <cell r="W291">
            <v>516</v>
          </cell>
        </row>
        <row r="292">
          <cell r="G292" t="str">
            <v>Three number 100 mm internal diameter upvc service ducts Type B to HCD I2 depth to invert not exceeding 2 metres, average depth to invert 2.0 metres</v>
          </cell>
          <cell r="H292" t="str">
            <v>m</v>
          </cell>
          <cell r="I292">
            <v>67.743351544549995</v>
          </cell>
          <cell r="K292">
            <v>79.366303804210631</v>
          </cell>
          <cell r="O292">
            <v>38.549744500000003</v>
          </cell>
          <cell r="Q292">
            <v>32.3698245</v>
          </cell>
          <cell r="S292">
            <v>1.9879200000000001</v>
          </cell>
          <cell r="U292">
            <v>4.1920000000000002</v>
          </cell>
          <cell r="W292">
            <v>516</v>
          </cell>
        </row>
        <row r="293">
          <cell r="G293" t="str">
            <v>Four number 100 mm internal diameter upvc service ducts on bed Type A to HCD 12 depth to invert not exceeding 2 metres, average depth to invert 0.5 metres</v>
          </cell>
          <cell r="H293" t="str">
            <v>m</v>
          </cell>
          <cell r="I293">
            <v>46.871977818625005</v>
          </cell>
          <cell r="K293">
            <v>48.137076816432007</v>
          </cell>
          <cell r="O293">
            <v>50.002325999999996</v>
          </cell>
          <cell r="Q293">
            <v>43.159765999999998</v>
          </cell>
          <cell r="S293">
            <v>2.65056</v>
          </cell>
          <cell r="U293">
            <v>4.1920000000000002</v>
          </cell>
          <cell r="W293">
            <v>688</v>
          </cell>
        </row>
        <row r="294">
          <cell r="G294" t="str">
            <v>Four number 100 mm internal diameter upvc service ducts Type A to HCD I2 depth to invert not exceeding 2 metres, average depth to invert 1.0 metres</v>
          </cell>
          <cell r="H294" t="str">
            <v>m</v>
          </cell>
          <cell r="I294">
            <v>65.573600526675008</v>
          </cell>
          <cell r="K294">
            <v>68.801542235830311</v>
          </cell>
          <cell r="M294">
            <v>101.79</v>
          </cell>
          <cell r="O294">
            <v>50.002325999999996</v>
          </cell>
          <cell r="Q294">
            <v>43.159765999999998</v>
          </cell>
          <cell r="S294">
            <v>2.65056</v>
          </cell>
          <cell r="U294">
            <v>4.1920000000000002</v>
          </cell>
          <cell r="W294">
            <v>688</v>
          </cell>
        </row>
        <row r="295">
          <cell r="G295" t="str">
            <v>Four number 100 mm internal diameter upvc service ducts Type B to HCD I2 depth to invert not exceeding 2 metres, average depth to invert 1.5 metres</v>
          </cell>
          <cell r="H295" t="str">
            <v>m</v>
          </cell>
          <cell r="I295">
            <v>59.841156137499993</v>
          </cell>
          <cell r="K295">
            <v>67.852882796191878</v>
          </cell>
          <cell r="O295">
            <v>50.002325999999996</v>
          </cell>
          <cell r="Q295">
            <v>43.159765999999998</v>
          </cell>
          <cell r="S295">
            <v>2.65056</v>
          </cell>
          <cell r="U295">
            <v>4.1920000000000002</v>
          </cell>
          <cell r="W295">
            <v>688</v>
          </cell>
        </row>
        <row r="296">
          <cell r="G296" t="str">
            <v>Four number 100 mm internal diameter upvc service ducts on bed Type Z  in trench depth to invert not exceeding 2 metres, average depth to invert 2.0 metres</v>
          </cell>
          <cell r="H296" t="str">
            <v>m</v>
          </cell>
          <cell r="I296">
            <v>102.52991241777499</v>
          </cell>
          <cell r="K296">
            <v>119.01213642383937</v>
          </cell>
          <cell r="O296">
            <v>50.002325999999996</v>
          </cell>
          <cell r="Q296">
            <v>43.159765999999998</v>
          </cell>
          <cell r="S296">
            <v>2.65056</v>
          </cell>
          <cell r="U296">
            <v>4.1920000000000002</v>
          </cell>
          <cell r="W296">
            <v>688</v>
          </cell>
        </row>
        <row r="297">
          <cell r="O297">
            <v>0</v>
          </cell>
          <cell r="Q297">
            <v>0</v>
          </cell>
          <cell r="S297">
            <v>0</v>
          </cell>
          <cell r="U297">
            <v>0</v>
          </cell>
          <cell r="W297">
            <v>0</v>
          </cell>
        </row>
        <row r="299">
          <cell r="G299" t="str">
            <v>&lt;Select&gt;</v>
          </cell>
          <cell r="I299" t="str">
            <v/>
          </cell>
        </row>
        <row r="300">
          <cell r="G300" t="str">
            <v>150 mm internal diameter filter drain in trench specified design group 1 depth to invert not exceeding 2.0 metres, average depth to invert 1.0 metres</v>
          </cell>
          <cell r="H300" t="str">
            <v>m</v>
          </cell>
          <cell r="I300">
            <v>50.181631967249999</v>
          </cell>
          <cell r="K300">
            <v>51.695857034163616</v>
          </cell>
          <cell r="M300">
            <v>57.51</v>
          </cell>
          <cell r="O300">
            <v>0</v>
          </cell>
          <cell r="Q300">
            <v>0</v>
          </cell>
          <cell r="S300">
            <v>0</v>
          </cell>
          <cell r="U300">
            <v>0</v>
          </cell>
          <cell r="W300">
            <v>0</v>
          </cell>
        </row>
        <row r="301">
          <cell r="G301" t="str">
            <v>150 mm internal diameter filter drain in trench specified design group 1 depth to invert not exceeding 2.0 metres, average depth to invert 1.5 metres</v>
          </cell>
          <cell r="H301" t="str">
            <v>m</v>
          </cell>
          <cell r="I301">
            <v>67.876782902874993</v>
          </cell>
          <cell r="K301">
            <v>69.84491222227453</v>
          </cell>
          <cell r="M301">
            <v>63</v>
          </cell>
          <cell r="O301">
            <v>0</v>
          </cell>
          <cell r="Q301">
            <v>0</v>
          </cell>
          <cell r="S301">
            <v>0</v>
          </cell>
          <cell r="U301">
            <v>0</v>
          </cell>
          <cell r="W301">
            <v>0</v>
          </cell>
        </row>
        <row r="302">
          <cell r="G302" t="str">
            <v>150 mm internal diameter filter drain in trench specified design group 1 depth to invert not exceeding 2.0 metres, average depth to invert 2.0 metres</v>
          </cell>
          <cell r="H302" t="str">
            <v>m</v>
          </cell>
          <cell r="I302">
            <v>87.097537361124992</v>
          </cell>
          <cell r="K302">
            <v>89.780339479585805</v>
          </cell>
          <cell r="M302">
            <v>68.36</v>
          </cell>
          <cell r="O302">
            <v>0</v>
          </cell>
          <cell r="Q302">
            <v>0</v>
          </cell>
          <cell r="S302">
            <v>0</v>
          </cell>
          <cell r="U302">
            <v>0</v>
          </cell>
          <cell r="W302">
            <v>0</v>
          </cell>
        </row>
        <row r="303">
          <cell r="G303" t="str">
            <v>225 mm internal diameter filter drain in trench specified design group 1 depth to invert not exceeding 2.0 metres, average depth to invert 1.0 metres</v>
          </cell>
          <cell r="H303" t="str">
            <v>m</v>
          </cell>
          <cell r="I303">
            <v>60.921335050625004</v>
          </cell>
          <cell r="K303">
            <v>62.812778165174471</v>
          </cell>
          <cell r="M303">
            <v>74.540000000000006</v>
          </cell>
          <cell r="O303">
            <v>0</v>
          </cell>
          <cell r="Q303">
            <v>0</v>
          </cell>
          <cell r="S303">
            <v>0</v>
          </cell>
          <cell r="U303">
            <v>0</v>
          </cell>
          <cell r="W303">
            <v>0</v>
          </cell>
        </row>
        <row r="304">
          <cell r="G304" t="str">
            <v>225 mm internal diameter filter drain in trench specified design group 1 depth to invert not exceeding 2.0 metres, average depth to invert 1.5 metres</v>
          </cell>
          <cell r="H304" t="str">
            <v>m</v>
          </cell>
          <cell r="I304">
            <v>80.624832426250009</v>
          </cell>
          <cell r="K304">
            <v>83.147799910968118</v>
          </cell>
          <cell r="M304">
            <v>80</v>
          </cell>
          <cell r="O304">
            <v>0</v>
          </cell>
          <cell r="Q304">
            <v>0</v>
          </cell>
          <cell r="S304">
            <v>0</v>
          </cell>
          <cell r="U304">
            <v>0</v>
          </cell>
          <cell r="W304">
            <v>0</v>
          </cell>
        </row>
        <row r="305">
          <cell r="G305" t="str">
            <v>300 mm internal diameter filter drain in trench specified design group 1 depth to invert not exceeding 2.0 metres, average depth to invert 1.0 metres</v>
          </cell>
          <cell r="H305" t="str">
            <v>m</v>
          </cell>
          <cell r="I305">
            <v>71.871461841625006</v>
          </cell>
          <cell r="K305">
            <v>74.301265020698281</v>
          </cell>
          <cell r="M305">
            <v>106.65</v>
          </cell>
          <cell r="O305">
            <v>0</v>
          </cell>
          <cell r="Q305">
            <v>0</v>
          </cell>
          <cell r="S305">
            <v>0</v>
          </cell>
          <cell r="U305">
            <v>0</v>
          </cell>
          <cell r="W305">
            <v>0</v>
          </cell>
        </row>
        <row r="306">
          <cell r="G306" t="str">
            <v>300 mm internal diameter filter drain in trench specified design group 1 depth to invert not exceeding 2.0 metres, average depth to invert 2.0 metres</v>
          </cell>
          <cell r="H306" t="str">
            <v>m</v>
          </cell>
          <cell r="I306">
            <v>116.36846502775001</v>
          </cell>
          <cell r="K306">
            <v>120.11891726900807</v>
          </cell>
          <cell r="M306">
            <v>120.34</v>
          </cell>
          <cell r="O306">
            <v>0</v>
          </cell>
          <cell r="Q306">
            <v>0</v>
          </cell>
          <cell r="S306">
            <v>0</v>
          </cell>
          <cell r="U306">
            <v>0</v>
          </cell>
          <cell r="W306">
            <v>0</v>
          </cell>
        </row>
        <row r="307">
          <cell r="G307" t="str">
            <v>Type A filter material contiguous with filter drain</v>
          </cell>
          <cell r="H307" t="str">
            <v>m3</v>
          </cell>
          <cell r="I307">
            <v>40.237984533875</v>
          </cell>
          <cell r="K307">
            <v>40.729876725227818</v>
          </cell>
          <cell r="M307">
            <v>21.82</v>
          </cell>
          <cell r="O307">
            <v>0</v>
          </cell>
          <cell r="Q307">
            <v>0</v>
          </cell>
          <cell r="S307">
            <v>0</v>
          </cell>
          <cell r="U307">
            <v>0</v>
          </cell>
          <cell r="W307">
            <v>0</v>
          </cell>
        </row>
        <row r="308">
          <cell r="G308" t="str">
            <v>Type B filter material contiguous with filter drain</v>
          </cell>
          <cell r="H308" t="str">
            <v>m3</v>
          </cell>
          <cell r="I308">
            <v>39.362037861875002</v>
          </cell>
          <cell r="K308">
            <v>39.81948343874447</v>
          </cell>
          <cell r="M308">
            <v>44.28</v>
          </cell>
          <cell r="O308">
            <v>0</v>
          </cell>
          <cell r="Q308">
            <v>0</v>
          </cell>
          <cell r="S308">
            <v>0</v>
          </cell>
          <cell r="U308">
            <v>0</v>
          </cell>
          <cell r="W308">
            <v>0</v>
          </cell>
        </row>
        <row r="309">
          <cell r="G309" t="str">
            <v>Type C filter material contiguous with filter drain</v>
          </cell>
          <cell r="H309" t="str">
            <v>m3</v>
          </cell>
          <cell r="I309">
            <v>40.621744861875001</v>
          </cell>
          <cell r="K309">
            <v>41.029440387323213</v>
          </cell>
          <cell r="O309">
            <v>0</v>
          </cell>
          <cell r="Q309">
            <v>0</v>
          </cell>
          <cell r="S309">
            <v>0</v>
          </cell>
          <cell r="U309">
            <v>0</v>
          </cell>
          <cell r="W309">
            <v>0</v>
          </cell>
        </row>
        <row r="310">
          <cell r="G310" t="str">
            <v>Granular Type 1 sub-base material</v>
          </cell>
          <cell r="H310" t="str">
            <v>m3</v>
          </cell>
          <cell r="I310">
            <v>39.260375210625</v>
          </cell>
          <cell r="K310">
            <v>39.483429846455188</v>
          </cell>
          <cell r="O310">
            <v>0</v>
          </cell>
          <cell r="Q310">
            <v>0</v>
          </cell>
          <cell r="S310">
            <v>0</v>
          </cell>
          <cell r="U310">
            <v>0</v>
          </cell>
          <cell r="W310">
            <v>0</v>
          </cell>
        </row>
        <row r="311">
          <cell r="G311" t="str">
            <v>Granular Type 2 sub-base material</v>
          </cell>
          <cell r="H311" t="str">
            <v>m3</v>
          </cell>
          <cell r="I311">
            <v>38.085928570625008</v>
          </cell>
          <cell r="K311">
            <v>38.304157703577587</v>
          </cell>
          <cell r="O311">
            <v>0</v>
          </cell>
          <cell r="Q311">
            <v>0</v>
          </cell>
          <cell r="S311">
            <v>0</v>
          </cell>
          <cell r="U311">
            <v>0</v>
          </cell>
          <cell r="W311">
            <v>0</v>
          </cell>
        </row>
        <row r="312">
          <cell r="G312" t="str">
            <v>Excavate and replace filter material depth to invert not exceeding 2 metres in verge</v>
          </cell>
          <cell r="H312" t="str">
            <v>m3</v>
          </cell>
          <cell r="I312">
            <v>64.460891250249986</v>
          </cell>
          <cell r="K312">
            <v>66.312735280588015</v>
          </cell>
          <cell r="M312">
            <v>67.650000000000006</v>
          </cell>
          <cell r="O312">
            <v>0</v>
          </cell>
          <cell r="Q312">
            <v>0</v>
          </cell>
          <cell r="S312">
            <v>0</v>
          </cell>
          <cell r="U312">
            <v>0</v>
          </cell>
          <cell r="W312">
            <v>0</v>
          </cell>
        </row>
        <row r="313">
          <cell r="G313" t="str">
            <v>Excavate and replace filter material depth to invert exceeding 2 metres but not exceeding 4 metres in verge</v>
          </cell>
          <cell r="H313" t="str">
            <v>m3</v>
          </cell>
          <cell r="I313">
            <v>66.615699587249992</v>
          </cell>
          <cell r="K313">
            <v>68.073438070636669</v>
          </cell>
          <cell r="M313">
            <v>67.650000000000006</v>
          </cell>
          <cell r="O313">
            <v>0</v>
          </cell>
          <cell r="Q313">
            <v>0</v>
          </cell>
          <cell r="S313">
            <v>0</v>
          </cell>
          <cell r="U313">
            <v>0</v>
          </cell>
          <cell r="W313">
            <v>0</v>
          </cell>
        </row>
        <row r="314">
          <cell r="G314" t="str">
            <v>Excavate and replace filter material depth to invert not exceeding 2 metres in central reserve</v>
          </cell>
          <cell r="H314" t="str">
            <v>m3</v>
          </cell>
          <cell r="M314">
            <v>67.650000000000006</v>
          </cell>
          <cell r="O314">
            <v>0</v>
          </cell>
          <cell r="Q314">
            <v>0</v>
          </cell>
          <cell r="S314">
            <v>0</v>
          </cell>
          <cell r="U314">
            <v>0</v>
          </cell>
          <cell r="W314">
            <v>0</v>
          </cell>
        </row>
        <row r="315">
          <cell r="O315">
            <v>0</v>
          </cell>
          <cell r="Q315">
            <v>0</v>
          </cell>
          <cell r="S315">
            <v>0</v>
          </cell>
          <cell r="U315">
            <v>0</v>
          </cell>
          <cell r="W315">
            <v>0</v>
          </cell>
        </row>
        <row r="317">
          <cell r="G317" t="str">
            <v>&lt;Select&gt;</v>
          </cell>
          <cell r="I317" t="str">
            <v/>
          </cell>
        </row>
        <row r="318">
          <cell r="G318" t="str">
            <v>Connection of 150 mm internal diameter pipe to existing 150 mm internal diameter drain, sewer or piped culvert depth to invert not exceeding 2 metres</v>
          </cell>
          <cell r="H318" t="str">
            <v>no</v>
          </cell>
          <cell r="I318">
            <v>99.653872977500001</v>
          </cell>
          <cell r="K318">
            <v>111.25502184808593</v>
          </cell>
          <cell r="M318">
            <v>85.54</v>
          </cell>
          <cell r="O318">
            <v>265.5</v>
          </cell>
          <cell r="Q318">
            <v>0</v>
          </cell>
          <cell r="S318">
            <v>0</v>
          </cell>
          <cell r="U318">
            <v>265.5</v>
          </cell>
          <cell r="W318">
            <v>0</v>
          </cell>
        </row>
        <row r="319">
          <cell r="G319" t="str">
            <v>Connection of 225 mm internal diameter pipe to existing 225 mm internal diameter drain, sewer or piped culvert depth to invert not exceeding 2 metres</v>
          </cell>
          <cell r="H319" t="str">
            <v>no</v>
          </cell>
          <cell r="I319">
            <v>172.89467080125004</v>
          </cell>
          <cell r="K319">
            <v>191.5928018875681</v>
          </cell>
          <cell r="M319">
            <v>168.28</v>
          </cell>
          <cell r="O319">
            <v>354</v>
          </cell>
          <cell r="Q319">
            <v>0</v>
          </cell>
          <cell r="S319">
            <v>0</v>
          </cell>
          <cell r="U319">
            <v>354</v>
          </cell>
          <cell r="W319">
            <v>0</v>
          </cell>
        </row>
        <row r="320">
          <cell r="G320" t="str">
            <v>Connection of 225 mm internal diameter pipe to existing 225 mm internal diameter drain, sewer or piped culvert depth to invert exceeding 2 metres but not exceeding 4 metres</v>
          </cell>
          <cell r="H320" t="str">
            <v>no</v>
          </cell>
          <cell r="I320">
            <v>214.719673862875</v>
          </cell>
          <cell r="K320">
            <v>250.97694937686788</v>
          </cell>
          <cell r="M320">
            <v>200</v>
          </cell>
          <cell r="O320">
            <v>354</v>
          </cell>
          <cell r="Q320">
            <v>0</v>
          </cell>
          <cell r="S320">
            <v>0</v>
          </cell>
          <cell r="U320">
            <v>354</v>
          </cell>
          <cell r="W320">
            <v>0</v>
          </cell>
        </row>
        <row r="321">
          <cell r="G321" t="str">
            <v>Connection of 300 mm internal diameter pipe to existing 300 mm internal diameter drain, sewer or piped culvert depth to invert not exceeding 2 metres</v>
          </cell>
          <cell r="H321" t="str">
            <v>no</v>
          </cell>
          <cell r="I321">
            <v>239.33836371475002</v>
          </cell>
          <cell r="K321">
            <v>257.274612669661</v>
          </cell>
          <cell r="M321">
            <v>271.82</v>
          </cell>
          <cell r="O321">
            <v>531</v>
          </cell>
          <cell r="Q321">
            <v>0</v>
          </cell>
          <cell r="S321">
            <v>0</v>
          </cell>
          <cell r="U321">
            <v>531</v>
          </cell>
          <cell r="W321">
            <v>0</v>
          </cell>
        </row>
        <row r="322">
          <cell r="G322" t="str">
            <v>Connection of 150 mm internal diameter pipe to existing chamber depth to invert not exceeding 2 metres</v>
          </cell>
          <cell r="H322" t="str">
            <v>no</v>
          </cell>
          <cell r="I322">
            <v>182.44285220900002</v>
          </cell>
          <cell r="K322">
            <v>214.53492791059085</v>
          </cell>
          <cell r="M322">
            <v>143.1</v>
          </cell>
          <cell r="O322">
            <v>265.5</v>
          </cell>
          <cell r="Q322">
            <v>0</v>
          </cell>
          <cell r="S322">
            <v>0</v>
          </cell>
          <cell r="U322">
            <v>265.5</v>
          </cell>
          <cell r="W322">
            <v>0</v>
          </cell>
        </row>
        <row r="323">
          <cell r="G323" t="str">
            <v>Connection of 225 mm internal diameter pipe to existing chamber depth to invert not exceeding 2 metres</v>
          </cell>
          <cell r="H323" t="str">
            <v>no</v>
          </cell>
          <cell r="I323">
            <v>248.81594171137499</v>
          </cell>
          <cell r="K323">
            <v>280.88396131941983</v>
          </cell>
          <cell r="M323">
            <v>215</v>
          </cell>
          <cell r="O323">
            <v>354</v>
          </cell>
          <cell r="Q323">
            <v>0</v>
          </cell>
          <cell r="S323">
            <v>0</v>
          </cell>
          <cell r="U323">
            <v>354</v>
          </cell>
          <cell r="W323">
            <v>0</v>
          </cell>
        </row>
        <row r="324">
          <cell r="G324" t="str">
            <v>Connection of 300 mm internal diameter pipe to existing chamber depth to invert not exceeding 2 metres</v>
          </cell>
          <cell r="H324" t="str">
            <v>no</v>
          </cell>
          <cell r="I324">
            <v>320.71628563062501</v>
          </cell>
          <cell r="K324">
            <v>360.87047703749494</v>
          </cell>
          <cell r="M324">
            <v>284.61</v>
          </cell>
          <cell r="O324">
            <v>531</v>
          </cell>
          <cell r="Q324">
            <v>0</v>
          </cell>
          <cell r="S324">
            <v>0</v>
          </cell>
          <cell r="U324">
            <v>531</v>
          </cell>
          <cell r="W324">
            <v>0</v>
          </cell>
        </row>
        <row r="325">
          <cell r="O325">
            <v>0</v>
          </cell>
          <cell r="Q325">
            <v>0</v>
          </cell>
          <cell r="S325">
            <v>0</v>
          </cell>
          <cell r="U325">
            <v>0</v>
          </cell>
          <cell r="W325">
            <v>0</v>
          </cell>
        </row>
        <row r="327">
          <cell r="G327" t="str">
            <v>&lt;Select&gt;</v>
          </cell>
          <cell r="I327" t="str">
            <v/>
          </cell>
        </row>
        <row r="328">
          <cell r="G328" t="str">
            <v>Chamber specified design group Type 3a PC manhole 1200mm dia with cover and frame depth to invert not exceeding 1 metre</v>
          </cell>
          <cell r="H328" t="str">
            <v>no</v>
          </cell>
          <cell r="I328">
            <v>931.27075556368766</v>
          </cell>
          <cell r="K328">
            <v>965.88997828037611</v>
          </cell>
          <cell r="M328">
            <v>1045</v>
          </cell>
          <cell r="O328">
            <v>5353.0641838131569</v>
          </cell>
          <cell r="Q328">
            <v>1164.9423725894233</v>
          </cell>
          <cell r="S328">
            <v>32.121811223733772</v>
          </cell>
          <cell r="U328">
            <v>4156</v>
          </cell>
          <cell r="W328">
            <v>7469.9894226805591</v>
          </cell>
        </row>
        <row r="329">
          <cell r="G329" t="str">
            <v>Chamber specified design group Type 3a PC manhole 1200mm dia with cover and frame depth to invert exceeding 1 metre but not exceeding 2 metres</v>
          </cell>
          <cell r="H329" t="str">
            <v>no</v>
          </cell>
          <cell r="I329">
            <v>1295.2893446891189</v>
          </cell>
          <cell r="K329">
            <v>1361.685632957712</v>
          </cell>
          <cell r="M329">
            <v>1534.57</v>
          </cell>
          <cell r="O329">
            <v>8511.4485858449043</v>
          </cell>
          <cell r="Q329">
            <v>1534.8141974422895</v>
          </cell>
          <cell r="S329">
            <v>49.96772173594821</v>
          </cell>
          <cell r="U329">
            <v>6926.666666666667</v>
          </cell>
          <cell r="W329">
            <v>11987.670814653899</v>
          </cell>
        </row>
        <row r="330">
          <cell r="G330" t="str">
            <v>Chamber specified design group Type 3b PC manhole 1500mm dia with cover and frame depth to invert not exceeding 1 metre</v>
          </cell>
          <cell r="H330" t="str">
            <v>no</v>
          </cell>
          <cell r="O330">
            <v>5897.039129564424</v>
          </cell>
          <cell r="Q330">
            <v>1696.0291920117684</v>
          </cell>
          <cell r="S330">
            <v>45.009937552655217</v>
          </cell>
          <cell r="U330">
            <v>4156</v>
          </cell>
          <cell r="W330">
            <v>10339.647369093736</v>
          </cell>
        </row>
        <row r="331">
          <cell r="G331" t="str">
            <v>Chamber specified design group Type 3b PC manhole 1500mm dia with cover and frame depth to invert exceeding 1 metre but not exceeding 2 metres</v>
          </cell>
          <cell r="H331" t="str">
            <v>no</v>
          </cell>
          <cell r="O331">
            <v>9115.8542386113404</v>
          </cell>
          <cell r="Q331">
            <v>2123.3612215578455</v>
          </cell>
          <cell r="S331">
            <v>65.826350386826945</v>
          </cell>
          <cell r="U331">
            <v>6926.666666666667</v>
          </cell>
          <cell r="W331">
            <v>15596.31727671286</v>
          </cell>
        </row>
        <row r="332">
          <cell r="G332" t="str">
            <v>Chamber specified design group Type 3c PC manhole 1800mm dia with cover and frame depth to invert exceeding 1 metre but not exceeding 2 metres</v>
          </cell>
          <cell r="H332" t="str">
            <v>no</v>
          </cell>
          <cell r="O332">
            <v>9986.8505167322401</v>
          </cell>
          <cell r="Q332">
            <v>2971.9431352981137</v>
          </cell>
          <cell r="S332">
            <v>88.240714767459934</v>
          </cell>
          <cell r="U332">
            <v>6926.666666666667</v>
          </cell>
          <cell r="W332">
            <v>20651.934661401981</v>
          </cell>
        </row>
        <row r="333">
          <cell r="G333" t="str">
            <v>Chamber specified design group Type 3c PC manhole 1800mm dia with cover and frame depth to invert exceeding 2 metres but not exceeding 3 metres</v>
          </cell>
          <cell r="H333" t="str">
            <v>no</v>
          </cell>
          <cell r="O333">
            <v>11898.701942455989</v>
          </cell>
          <cell r="Q333">
            <v>3474.4537735324011</v>
          </cell>
          <cell r="S333">
            <v>112.24816892358893</v>
          </cell>
          <cell r="U333">
            <v>8312</v>
          </cell>
          <cell r="W333">
            <v>26714.42308466688</v>
          </cell>
        </row>
        <row r="334">
          <cell r="G334" t="str">
            <v>Chamber specified design group Type 3d PC manhole 2100mm dia with cover and frame depth to invert exceeding 1 metre but not exceeding 2 metres</v>
          </cell>
          <cell r="H334" t="str">
            <v>no</v>
          </cell>
          <cell r="O334">
            <v>11091.938997787349</v>
          </cell>
          <cell r="Q334">
            <v>4048.659241925408</v>
          </cell>
          <cell r="S334">
            <v>116.61308919527376</v>
          </cell>
          <cell r="U334">
            <v>6926.666666666667</v>
          </cell>
          <cell r="W334">
            <v>27006.050829636122</v>
          </cell>
        </row>
        <row r="335">
          <cell r="G335" t="str">
            <v>Chamber specified design group Type 3d PC manhole 2100mm dia with cover and frame depth to invert exceeding 2 metres but not exceeding 3 metres</v>
          </cell>
          <cell r="H335" t="str">
            <v>no</v>
          </cell>
          <cell r="O335">
            <v>13082.160073521267</v>
          </cell>
          <cell r="Q335">
            <v>4626.3484888479061</v>
          </cell>
          <cell r="S335">
            <v>143.81158467336007</v>
          </cell>
          <cell r="U335">
            <v>8312</v>
          </cell>
          <cell r="W335">
            <v>33874.357768546804</v>
          </cell>
        </row>
        <row r="336">
          <cell r="G336" t="str">
            <v>Chamber specified design group Type 7 catchpit 1050mm dia with cover and frame depth to invert not exceeding 1 metre</v>
          </cell>
          <cell r="H336" t="str">
            <v>no</v>
          </cell>
          <cell r="I336">
            <v>720.48171904725018</v>
          </cell>
          <cell r="K336">
            <v>743.32232264697177</v>
          </cell>
          <cell r="M336">
            <v>950</v>
          </cell>
          <cell r="O336">
            <v>4956.9247550553973</v>
          </cell>
          <cell r="Q336">
            <v>777.6669291250771</v>
          </cell>
          <cell r="S336">
            <v>23.257825930320095</v>
          </cell>
          <cell r="U336">
            <v>4156</v>
          </cell>
          <cell r="W336">
            <v>5561.128684505562</v>
          </cell>
        </row>
        <row r="337">
          <cell r="G337" t="str">
            <v>Chamber specified design group Type 7 catchpit 1050mm dia with cover and frame depth to invert exceeding 1 metre but not exceeding 2 metres</v>
          </cell>
          <cell r="H337" t="str">
            <v>no</v>
          </cell>
          <cell r="I337">
            <v>1066.0405084027502</v>
          </cell>
          <cell r="K337">
            <v>1112.3873452917007</v>
          </cell>
          <cell r="M337">
            <v>1250</v>
          </cell>
          <cell r="O337">
            <v>8058.1853890870607</v>
          </cell>
          <cell r="Q337">
            <v>1092.2310456388384</v>
          </cell>
          <cell r="S337">
            <v>39.287676781555867</v>
          </cell>
          <cell r="U337">
            <v>6926.666666666667</v>
          </cell>
          <cell r="W337">
            <v>9609.0708186560096</v>
          </cell>
        </row>
        <row r="338">
          <cell r="G338" t="str">
            <v>Precast concrete trapped gully with cover and frame</v>
          </cell>
          <cell r="H338" t="str">
            <v>no</v>
          </cell>
          <cell r="I338">
            <v>309.70140087481246</v>
          </cell>
          <cell r="K338">
            <v>314.895063241488</v>
          </cell>
          <cell r="M338">
            <v>271.70999999999998</v>
          </cell>
          <cell r="O338">
            <v>328.638736311</v>
          </cell>
          <cell r="Q338">
            <v>272.49094211099998</v>
          </cell>
          <cell r="S338">
            <v>3.0477942000000002</v>
          </cell>
          <cell r="U338">
            <v>53.1</v>
          </cell>
          <cell r="W338">
            <v>533.57400000000007</v>
          </cell>
        </row>
        <row r="339">
          <cell r="G339" t="str">
            <v>Rodding eye</v>
          </cell>
          <cell r="H339" t="str">
            <v>no</v>
          </cell>
          <cell r="O339">
            <v>35.4</v>
          </cell>
          <cell r="Q339">
            <v>0</v>
          </cell>
          <cell r="S339">
            <v>0</v>
          </cell>
          <cell r="U339">
            <v>35.4</v>
          </cell>
          <cell r="W339">
            <v>0</v>
          </cell>
        </row>
        <row r="340">
          <cell r="O340">
            <v>0</v>
          </cell>
          <cell r="Q340">
            <v>0</v>
          </cell>
          <cell r="S340">
            <v>0</v>
          </cell>
          <cell r="U340">
            <v>0</v>
          </cell>
          <cell r="W340">
            <v>0</v>
          </cell>
        </row>
        <row r="342">
          <cell r="G342" t="str">
            <v>&lt;Select&gt;</v>
          </cell>
          <cell r="I342" t="str">
            <v/>
          </cell>
        </row>
        <row r="343">
          <cell r="G343" t="str">
            <v>Excavation of soft spots and other voids in the bottom of trenches, chambers and gullies</v>
          </cell>
          <cell r="H343" t="str">
            <v>m3</v>
          </cell>
          <cell r="I343">
            <v>28.065467926625004</v>
          </cell>
          <cell r="K343">
            <v>35.09712386374153</v>
          </cell>
          <cell r="M343">
            <v>8.1300000000000008</v>
          </cell>
          <cell r="O343">
            <v>0</v>
          </cell>
          <cell r="Q343">
            <v>0</v>
          </cell>
          <cell r="S343">
            <v>0</v>
          </cell>
          <cell r="U343">
            <v>0</v>
          </cell>
          <cell r="W343">
            <v>0</v>
          </cell>
        </row>
        <row r="344">
          <cell r="G344" t="str">
            <v>Filling of soft spots and other voids in the bottom of trenches, chambers and gullies with pipe bedding material</v>
          </cell>
          <cell r="H344" t="str">
            <v>m3</v>
          </cell>
          <cell r="I344">
            <v>49.825251116375</v>
          </cell>
          <cell r="K344">
            <v>50.824119100264916</v>
          </cell>
          <cell r="M344">
            <v>37.89</v>
          </cell>
          <cell r="O344">
            <v>0</v>
          </cell>
          <cell r="Q344">
            <v>0</v>
          </cell>
          <cell r="S344">
            <v>0</v>
          </cell>
          <cell r="U344">
            <v>0</v>
          </cell>
          <cell r="W344">
            <v>0</v>
          </cell>
        </row>
        <row r="345">
          <cell r="G345" t="str">
            <v>Filling of soft spots and other voids in the bottom of trenches, chambers and gullies with in situ concrete mix ST1</v>
          </cell>
          <cell r="H345" t="str">
            <v>m3</v>
          </cell>
          <cell r="I345">
            <v>100.51644804462498</v>
          </cell>
          <cell r="K345">
            <v>101.22570056674576</v>
          </cell>
          <cell r="M345">
            <v>97.71</v>
          </cell>
          <cell r="O345">
            <v>0</v>
          </cell>
          <cell r="Q345">
            <v>0</v>
          </cell>
          <cell r="S345">
            <v>0</v>
          </cell>
          <cell r="U345">
            <v>0</v>
          </cell>
          <cell r="W345">
            <v>0</v>
          </cell>
        </row>
        <row r="347">
          <cell r="G347" t="str">
            <v>&lt;Select&gt;</v>
          </cell>
        </row>
        <row r="348">
          <cell r="G348" t="str">
            <v>Back of wall drainage</v>
          </cell>
          <cell r="H348" t="str">
            <v>m2</v>
          </cell>
          <cell r="I348">
            <v>35</v>
          </cell>
          <cell r="K348">
            <v>40</v>
          </cell>
          <cell r="O348">
            <v>64.502887950000016</v>
          </cell>
          <cell r="Q348">
            <v>63.709897950000013</v>
          </cell>
          <cell r="S348">
            <v>0.79299000000000008</v>
          </cell>
          <cell r="U348">
            <v>0</v>
          </cell>
          <cell r="W348">
            <v>240.3</v>
          </cell>
        </row>
        <row r="349">
          <cell r="I349" t="str">
            <v/>
          </cell>
        </row>
        <row r="350">
          <cell r="G350" t="str">
            <v>&lt;Select&gt;</v>
          </cell>
          <cell r="I350" t="str">
            <v/>
          </cell>
        </row>
        <row r="351">
          <cell r="G351" t="str">
            <v xml:space="preserve">Filling to pipe bays and verges on bridges </v>
          </cell>
          <cell r="H351" t="str">
            <v>m3</v>
          </cell>
          <cell r="I351">
            <v>75.012324860625</v>
          </cell>
          <cell r="K351">
            <v>82.905519838630013</v>
          </cell>
        </row>
        <row r="352">
          <cell r="I352" t="str">
            <v/>
          </cell>
        </row>
        <row r="353">
          <cell r="G353" t="str">
            <v>&lt;Select&gt;</v>
          </cell>
          <cell r="I353" t="str">
            <v/>
          </cell>
        </row>
        <row r="354">
          <cell r="G354" t="str">
            <v>Replacement of cover and frame on brick chamber.</v>
          </cell>
          <cell r="H354" t="str">
            <v>no</v>
          </cell>
          <cell r="I354">
            <v>140.16128329900002</v>
          </cell>
          <cell r="K354">
            <v>145.84197003030027</v>
          </cell>
        </row>
        <row r="355">
          <cell r="G355" t="str">
            <v>Replacement of cover and frame on precast concrete gully</v>
          </cell>
          <cell r="H355" t="str">
            <v>no</v>
          </cell>
          <cell r="I355">
            <v>89.571754374125021</v>
          </cell>
          <cell r="K355">
            <v>91.944508311366377</v>
          </cell>
        </row>
        <row r="356">
          <cell r="G356" t="str">
            <v>Raise the level of existing cover and frame on brick chamber 150 mm or less</v>
          </cell>
          <cell r="H356" t="str">
            <v>no</v>
          </cell>
          <cell r="I356">
            <v>114.27653239887501</v>
          </cell>
          <cell r="K356">
            <v>120.23278304738564</v>
          </cell>
          <cell r="M356">
            <v>38.08</v>
          </cell>
        </row>
        <row r="357">
          <cell r="G357" t="str">
            <v>Raise the level of existing cover and frame on brick chamber exceeding 150 mm but not exceeding 300 mm</v>
          </cell>
          <cell r="H357" t="str">
            <v>no</v>
          </cell>
          <cell r="I357">
            <v>151.735980417875</v>
          </cell>
          <cell r="K357">
            <v>163.83232178926642</v>
          </cell>
          <cell r="M357">
            <v>47.85</v>
          </cell>
        </row>
        <row r="358">
          <cell r="G358" t="str">
            <v>Raise the level of existing cover and frame on precast concrete chamber exceeding 150 mm but not exceeding 300 mm</v>
          </cell>
          <cell r="H358" t="str">
            <v>no</v>
          </cell>
          <cell r="I358">
            <v>133.34067334662501</v>
          </cell>
          <cell r="K358">
            <v>140.05547791676742</v>
          </cell>
        </row>
        <row r="359">
          <cell r="G359" t="str">
            <v>Raise the level of existing grating and frame on precast concrete gully not exceeding 150 mm</v>
          </cell>
          <cell r="H359" t="str">
            <v>no</v>
          </cell>
          <cell r="I359">
            <v>91.486149824999984</v>
          </cell>
          <cell r="K359">
            <v>97.802971355238682</v>
          </cell>
        </row>
        <row r="360">
          <cell r="G360" t="str">
            <v>Raise the level of existing grating and frame on precast concrete gully exceeding 150 mm but not exceeding 300 mm</v>
          </cell>
          <cell r="H360" t="str">
            <v>no</v>
          </cell>
          <cell r="I360">
            <v>109.52791564450001</v>
          </cell>
          <cell r="K360">
            <v>114.11146827038945</v>
          </cell>
        </row>
        <row r="361">
          <cell r="G361" t="str">
            <v>Raise the level of existing grating and frame on insitu concrete gully not exceeding 150 mm</v>
          </cell>
          <cell r="H361" t="str">
            <v>no</v>
          </cell>
          <cell r="I361">
            <v>85.56223622875001</v>
          </cell>
          <cell r="K361">
            <v>89.468163633883449</v>
          </cell>
        </row>
        <row r="362">
          <cell r="G362" t="str">
            <v>Raise the level of existing grating and frame on insitu concrete gully exceeding 150 mm but not exceeding 300 mm</v>
          </cell>
          <cell r="H362" t="str">
            <v>no</v>
          </cell>
          <cell r="I362">
            <v>106.64744298574999</v>
          </cell>
          <cell r="K362">
            <v>112.03003107496239</v>
          </cell>
        </row>
        <row r="363">
          <cell r="G363" t="str">
            <v>Lower the level of existing cover and frame on brick chamber 150 mm or less</v>
          </cell>
          <cell r="H363" t="str">
            <v>no</v>
          </cell>
          <cell r="I363">
            <v>95.664732814499999</v>
          </cell>
          <cell r="K363">
            <v>102.34713949149457</v>
          </cell>
          <cell r="M363">
            <v>22.92</v>
          </cell>
        </row>
        <row r="364">
          <cell r="G364" t="str">
            <v>Lower the level of existing cover and frame on precast concrete chamber 150 mm or less</v>
          </cell>
          <cell r="H364" t="str">
            <v>no</v>
          </cell>
          <cell r="I364">
            <v>99.869212318875</v>
          </cell>
          <cell r="K364">
            <v>104.99502342991308</v>
          </cell>
        </row>
        <row r="365">
          <cell r="G365" t="str">
            <v>Lower the level of existing grating and frame on precast concrete gully 150 mm or less</v>
          </cell>
          <cell r="H365" t="str">
            <v>no</v>
          </cell>
          <cell r="I365">
            <v>79.146513559124998</v>
          </cell>
          <cell r="K365">
            <v>82.067360304603127</v>
          </cell>
        </row>
        <row r="366">
          <cell r="I366" t="str">
            <v/>
          </cell>
        </row>
        <row r="367">
          <cell r="G367" t="str">
            <v>&lt;Select&gt;</v>
          </cell>
          <cell r="I367" t="str">
            <v/>
          </cell>
        </row>
        <row r="368">
          <cell r="G368" t="str">
            <v>Remove from store and reinstall cover and frame on brick chamber</v>
          </cell>
          <cell r="H368" t="str">
            <v>no</v>
          </cell>
          <cell r="I368">
            <v>85.563533020625002</v>
          </cell>
          <cell r="K368">
            <v>87.760333013724789</v>
          </cell>
          <cell r="M368">
            <v>54.64</v>
          </cell>
        </row>
        <row r="369">
          <cell r="G369" t="str">
            <v>Remove from store and reinstall cover and frame on precast concrete chamber</v>
          </cell>
          <cell r="H369" t="str">
            <v>no</v>
          </cell>
          <cell r="I369">
            <v>85.563533020625002</v>
          </cell>
          <cell r="K369">
            <v>87.760333013724789</v>
          </cell>
          <cell r="M369">
            <v>54.64</v>
          </cell>
        </row>
        <row r="370">
          <cell r="G370" t="str">
            <v>Remove from store and reinstall grating and frame on precast concrete gully</v>
          </cell>
          <cell r="H370" t="str">
            <v>no</v>
          </cell>
          <cell r="I370">
            <v>63.786673815999997</v>
          </cell>
          <cell r="K370">
            <v>66.545321867961775</v>
          </cell>
          <cell r="M370">
            <v>54.64</v>
          </cell>
        </row>
        <row r="371">
          <cell r="G371" t="str">
            <v>Remove from store and reinstall grating and frame on vitrified clay gully</v>
          </cell>
          <cell r="H371" t="str">
            <v>no</v>
          </cell>
          <cell r="I371">
            <v>64.685768179749999</v>
          </cell>
          <cell r="K371">
            <v>67.036355522727092</v>
          </cell>
          <cell r="M371">
            <v>54.64</v>
          </cell>
        </row>
        <row r="372">
          <cell r="I372" t="str">
            <v/>
          </cell>
        </row>
        <row r="373">
          <cell r="G373" t="str">
            <v>&lt;Select&gt;</v>
          </cell>
          <cell r="I373" t="str">
            <v/>
          </cell>
        </row>
        <row r="374">
          <cell r="G374" t="str">
            <v>Grouting up of 150 mm internal diameter drain, sewer, piped culvert and service duct with cement/PFA grout</v>
          </cell>
          <cell r="H374" t="str">
            <v>m</v>
          </cell>
          <cell r="I374">
            <v>23.349411814187501</v>
          </cell>
          <cell r="K374">
            <v>54.313037239470212</v>
          </cell>
          <cell r="M374">
            <v>15</v>
          </cell>
        </row>
        <row r="375">
          <cell r="G375" t="str">
            <v>Grouting up of 225 mm internal diameter drain, sewer, piped culvert and service duct with cement/PFA grout</v>
          </cell>
          <cell r="H375" t="str">
            <v>m</v>
          </cell>
          <cell r="I375">
            <v>26.497018533203121</v>
          </cell>
          <cell r="K375">
            <v>54.972220143718161</v>
          </cell>
          <cell r="M375">
            <v>22</v>
          </cell>
        </row>
        <row r="376">
          <cell r="G376" t="str">
            <v>Grouting up of 300 mm internal diameter drain, sewer, piped culvert and service duct with cement/PFA grout</v>
          </cell>
          <cell r="H376" t="str">
            <v>m</v>
          </cell>
          <cell r="I376">
            <v>31.201360238062502</v>
          </cell>
          <cell r="K376">
            <v>56.474496472185884</v>
          </cell>
          <cell r="M376">
            <v>27.55</v>
          </cell>
        </row>
        <row r="377">
          <cell r="G377" t="str">
            <v>Grouting up of 450 mm internal diameter drain, sewer, piped culvert and service duct with cement/PFA grout</v>
          </cell>
          <cell r="H377" t="str">
            <v>m</v>
          </cell>
          <cell r="I377">
            <v>42.260261209468744</v>
          </cell>
          <cell r="K377">
            <v>62.463541152361806</v>
          </cell>
          <cell r="M377">
            <v>56.12</v>
          </cell>
        </row>
        <row r="378">
          <cell r="G378" t="str">
            <v>Grouting up of 600 mm internal diameter drain, sewer, piped culvert and service duct with cement/PFA grout</v>
          </cell>
          <cell r="H378" t="str">
            <v>m</v>
          </cell>
          <cell r="I378">
            <v>59.023134806906242</v>
          </cell>
          <cell r="K378">
            <v>74.915659001816195</v>
          </cell>
          <cell r="M378">
            <v>110.89</v>
          </cell>
        </row>
        <row r="379">
          <cell r="G379" t="str">
            <v>Grout up existing gully</v>
          </cell>
          <cell r="H379" t="str">
            <v>no</v>
          </cell>
          <cell r="I379">
            <v>46.93992213762499</v>
          </cell>
          <cell r="K379">
            <v>66.493498559453329</v>
          </cell>
        </row>
        <row r="380">
          <cell r="I380" t="str">
            <v/>
          </cell>
        </row>
        <row r="381">
          <cell r="G381" t="str">
            <v>&lt;Select&gt;</v>
          </cell>
          <cell r="I381" t="str">
            <v/>
          </cell>
        </row>
        <row r="382">
          <cell r="G382" t="str">
            <v>Extra over excavation for excavation in Hard Material in drainage</v>
          </cell>
          <cell r="H382" t="str">
            <v>m3</v>
          </cell>
          <cell r="I382">
            <v>85.853058271624988</v>
          </cell>
          <cell r="K382">
            <v>95.591029051283215</v>
          </cell>
          <cell r="M382">
            <v>72.63</v>
          </cell>
        </row>
        <row r="383">
          <cell r="I383" t="str">
            <v/>
          </cell>
        </row>
        <row r="384">
          <cell r="G384" t="str">
            <v>&lt;Select&gt;</v>
          </cell>
          <cell r="I384" t="str">
            <v/>
          </cell>
        </row>
        <row r="385">
          <cell r="G385" t="str">
            <v>Cleaning piped drainage system 150 mm internal diameter or less.</v>
          </cell>
          <cell r="H385" t="str">
            <v>m</v>
          </cell>
          <cell r="I385">
            <v>2.9026555806015626</v>
          </cell>
          <cell r="K385">
            <v>3.1215921817420087</v>
          </cell>
        </row>
        <row r="386">
          <cell r="G386" t="str">
            <v>Cleaning piped drainage system 151 to 225 mm internal diameter</v>
          </cell>
          <cell r="H386" t="str">
            <v>m</v>
          </cell>
          <cell r="I386">
            <v>3.03943745841875</v>
          </cell>
          <cell r="K386">
            <v>3.2450188239183126</v>
          </cell>
        </row>
        <row r="387">
          <cell r="G387" t="str">
            <v>Cleaning piped drainage system 226 to 300 mm internal diameter</v>
          </cell>
          <cell r="H387" t="str">
            <v>m</v>
          </cell>
          <cell r="I387">
            <v>3.5221724886015626</v>
          </cell>
          <cell r="K387">
            <v>3.7302391616181265</v>
          </cell>
        </row>
        <row r="388">
          <cell r="G388" t="str">
            <v>Cleaning piped drainage system 301 to 450 mm internal diameter</v>
          </cell>
          <cell r="H388" t="str">
            <v>m</v>
          </cell>
          <cell r="I388">
            <v>4.8639190400484376</v>
          </cell>
          <cell r="K388">
            <v>5.2516430385266686</v>
          </cell>
        </row>
        <row r="389">
          <cell r="G389" t="str">
            <v>Cleaning piped drainage system 451 mm internal diameter and above</v>
          </cell>
          <cell r="H389" t="str">
            <v>m</v>
          </cell>
          <cell r="I389">
            <v>7.3347753666203124</v>
          </cell>
          <cell r="K389">
            <v>8.5423939768309936</v>
          </cell>
        </row>
        <row r="390">
          <cell r="G390" t="str">
            <v>Cleaning linear drainage system</v>
          </cell>
          <cell r="H390" t="str">
            <v>m</v>
          </cell>
          <cell r="I390">
            <v>2.6198116426015625</v>
          </cell>
          <cell r="K390">
            <v>2.8837202737084451</v>
          </cell>
        </row>
        <row r="391">
          <cell r="G391" t="str">
            <v>Cleaning combined drainage and kerb system</v>
          </cell>
          <cell r="H391" t="str">
            <v>m</v>
          </cell>
          <cell r="I391">
            <v>3.0897416426015627</v>
          </cell>
          <cell r="K391">
            <v>3.7615851136691179</v>
          </cell>
        </row>
        <row r="392">
          <cell r="G392" t="str">
            <v>Cleaning of chambers depth to invert not exceeding 2.0 metres.</v>
          </cell>
          <cell r="H392" t="str">
            <v>no</v>
          </cell>
          <cell r="I392">
            <v>54.581343842687488</v>
          </cell>
          <cell r="K392">
            <v>59.476623206235125</v>
          </cell>
        </row>
        <row r="393">
          <cell r="G393" t="str">
            <v>Cleaning of gullies.</v>
          </cell>
          <cell r="H393" t="str">
            <v>no</v>
          </cell>
          <cell r="I393">
            <v>23.452222202031251</v>
          </cell>
          <cell r="K393">
            <v>26.657925732027781</v>
          </cell>
        </row>
        <row r="394">
          <cell r="I394" t="str">
            <v/>
          </cell>
        </row>
        <row r="395">
          <cell r="I395" t="str">
            <v/>
          </cell>
        </row>
        <row r="396">
          <cell r="I396" t="str">
            <v/>
          </cell>
        </row>
        <row r="397">
          <cell r="G397" t="str">
            <v>&lt;Select&gt;</v>
          </cell>
          <cell r="I397" t="str">
            <v/>
          </cell>
        </row>
        <row r="398">
          <cell r="I398" t="str">
            <v/>
          </cell>
        </row>
        <row r="399">
          <cell r="G399" t="str">
            <v>&lt;Select&gt;</v>
          </cell>
          <cell r="I399" t="str">
            <v/>
          </cell>
        </row>
        <row r="400">
          <cell r="G400" t="str">
            <v>Excavation of acceptable material Class 5A</v>
          </cell>
          <cell r="H400" t="str">
            <v>m3</v>
          </cell>
          <cell r="I400">
            <v>5.6257305143749994</v>
          </cell>
          <cell r="K400">
            <v>7.1491759537476556</v>
          </cell>
          <cell r="M400">
            <v>0.92</v>
          </cell>
          <cell r="O400">
            <v>6.8879999999999999</v>
          </cell>
          <cell r="Q400">
            <v>0</v>
          </cell>
          <cell r="S400">
            <v>0</v>
          </cell>
          <cell r="U400">
            <v>6.8879999999999999</v>
          </cell>
          <cell r="W400">
            <v>0</v>
          </cell>
        </row>
        <row r="401">
          <cell r="G401" t="str">
            <v>Excavation of acceptable material excluding Class 5A in cutting and other excavation</v>
          </cell>
          <cell r="H401" t="str">
            <v>m3</v>
          </cell>
          <cell r="I401">
            <v>3.6185092221081732</v>
          </cell>
          <cell r="K401">
            <v>6.0739994834407263</v>
          </cell>
          <cell r="M401">
            <v>2.2000000000000002</v>
          </cell>
          <cell r="O401">
            <v>7.5252262500000002</v>
          </cell>
          <cell r="Q401">
            <v>0</v>
          </cell>
          <cell r="S401">
            <v>0</v>
          </cell>
          <cell r="U401">
            <v>7.5252262500000002</v>
          </cell>
          <cell r="W401">
            <v>0</v>
          </cell>
        </row>
        <row r="402">
          <cell r="G402" t="str">
            <v>Excavation of acceptable material excluding Class 5A in structural foundations 0 to 3 metres in depth</v>
          </cell>
          <cell r="H402" t="str">
            <v>m3</v>
          </cell>
          <cell r="I402">
            <v>13.197722933249999</v>
          </cell>
          <cell r="K402">
            <v>19.619624236823697</v>
          </cell>
          <cell r="M402">
            <v>5.46</v>
          </cell>
          <cell r="O402">
            <v>13.776</v>
          </cell>
          <cell r="Q402">
            <v>0</v>
          </cell>
          <cell r="S402">
            <v>0</v>
          </cell>
          <cell r="U402">
            <v>13.776</v>
          </cell>
          <cell r="W402">
            <v>0</v>
          </cell>
        </row>
        <row r="403">
          <cell r="G403" t="str">
            <v>Excavation of acceptable material excluding Class 5A in structural foundations 0 to 6 metres in depth</v>
          </cell>
          <cell r="H403" t="str">
            <v>m3</v>
          </cell>
          <cell r="I403">
            <v>34.843104046500002</v>
          </cell>
          <cell r="K403">
            <v>63.176184867477481</v>
          </cell>
          <cell r="M403">
            <v>14.41</v>
          </cell>
          <cell r="O403">
            <v>34.44</v>
          </cell>
          <cell r="Q403">
            <v>0</v>
          </cell>
          <cell r="S403">
            <v>0</v>
          </cell>
          <cell r="U403">
            <v>34.44</v>
          </cell>
          <cell r="W403">
            <v>0</v>
          </cell>
        </row>
        <row r="404">
          <cell r="G404" t="str">
            <v>Excavation of unacceptable material Class U1 in cutting and other excavation</v>
          </cell>
          <cell r="H404" t="str">
            <v>m3</v>
          </cell>
          <cell r="I404">
            <v>4.36712234175</v>
          </cell>
          <cell r="K404">
            <v>7.6745992581616465</v>
          </cell>
          <cell r="M404">
            <v>2.87</v>
          </cell>
          <cell r="O404">
            <v>12.3</v>
          </cell>
          <cell r="Q404">
            <v>0</v>
          </cell>
          <cell r="S404">
            <v>0</v>
          </cell>
          <cell r="U404">
            <v>12.3</v>
          </cell>
          <cell r="W404">
            <v>0</v>
          </cell>
        </row>
        <row r="405">
          <cell r="G405" t="str">
            <v>Excavation of unacceptable material Class U1 in structural foundations 0 to 3 metres in depth</v>
          </cell>
          <cell r="H405" t="str">
            <v>m3</v>
          </cell>
          <cell r="I405">
            <v>17.296387729749998</v>
          </cell>
          <cell r="K405">
            <v>27.146757401663265</v>
          </cell>
          <cell r="M405">
            <v>6.2</v>
          </cell>
          <cell r="O405">
            <v>15.654545454545454</v>
          </cell>
          <cell r="Q405">
            <v>0</v>
          </cell>
          <cell r="S405">
            <v>0</v>
          </cell>
          <cell r="U405">
            <v>15.654545454545454</v>
          </cell>
          <cell r="W405">
            <v>0</v>
          </cell>
        </row>
        <row r="406">
          <cell r="G406" t="str">
            <v>Excavation of unacceptable material Class U1 in structural foundations 0 to 6 metres in depth</v>
          </cell>
          <cell r="H406" t="str">
            <v>m3</v>
          </cell>
          <cell r="I406">
            <v>38.088349902499999</v>
          </cell>
          <cell r="K406">
            <v>68.00277665924294</v>
          </cell>
          <cell r="M406">
            <v>15.18</v>
          </cell>
          <cell r="O406">
            <v>38.266666666666666</v>
          </cell>
          <cell r="Q406">
            <v>0</v>
          </cell>
          <cell r="S406">
            <v>0</v>
          </cell>
          <cell r="U406">
            <v>38.266666666666666</v>
          </cell>
          <cell r="W406">
            <v>0</v>
          </cell>
        </row>
        <row r="407">
          <cell r="O407">
            <v>0</v>
          </cell>
          <cell r="Q407">
            <v>0</v>
          </cell>
          <cell r="S407">
            <v>0</v>
          </cell>
          <cell r="U407">
            <v>0</v>
          </cell>
          <cell r="W407">
            <v>0</v>
          </cell>
        </row>
        <row r="409">
          <cell r="G409" t="str">
            <v>&lt;Select&gt;</v>
          </cell>
          <cell r="I409" t="str">
            <v/>
          </cell>
        </row>
        <row r="410">
          <cell r="G410" t="str">
            <v>Extra over excavation for excavation in hard material in cutting and other excavation</v>
          </cell>
          <cell r="H410" t="str">
            <v>m3</v>
          </cell>
          <cell r="I410">
            <v>18.506849408874995</v>
          </cell>
          <cell r="K410">
            <v>23.428863518526995</v>
          </cell>
          <cell r="M410">
            <v>9</v>
          </cell>
          <cell r="O410">
            <v>17.22</v>
          </cell>
          <cell r="Q410">
            <v>0</v>
          </cell>
          <cell r="S410">
            <v>0</v>
          </cell>
          <cell r="U410">
            <v>17.22</v>
          </cell>
          <cell r="W410">
            <v>0</v>
          </cell>
        </row>
        <row r="411">
          <cell r="G411" t="str">
            <v>Extra over excavation for excavation in hard material in structural foundations</v>
          </cell>
          <cell r="H411" t="str">
            <v>m3</v>
          </cell>
          <cell r="I411">
            <v>44.444614880624997</v>
          </cell>
          <cell r="K411">
            <v>62.904445511634599</v>
          </cell>
          <cell r="M411">
            <v>52.83</v>
          </cell>
          <cell r="O411">
            <v>86.1</v>
          </cell>
          <cell r="Q411">
            <v>0</v>
          </cell>
          <cell r="S411">
            <v>0</v>
          </cell>
          <cell r="U411">
            <v>86.1</v>
          </cell>
          <cell r="W411">
            <v>0</v>
          </cell>
        </row>
        <row r="412">
          <cell r="G412" t="str">
            <v>Extra over excavation for excavation in hard material in foundations for corrugated steel buried structures and the like</v>
          </cell>
          <cell r="H412" t="str">
            <v>m3</v>
          </cell>
          <cell r="I412">
            <v>48.786288090624993</v>
          </cell>
          <cell r="K412">
            <v>71.90352811223346</v>
          </cell>
          <cell r="M412">
            <v>52.83</v>
          </cell>
          <cell r="O412">
            <v>86.1</v>
          </cell>
          <cell r="Q412">
            <v>0</v>
          </cell>
          <cell r="S412">
            <v>0</v>
          </cell>
          <cell r="U412">
            <v>86.1</v>
          </cell>
          <cell r="W412">
            <v>0</v>
          </cell>
        </row>
        <row r="413">
          <cell r="O413">
            <v>0</v>
          </cell>
          <cell r="Q413">
            <v>0</v>
          </cell>
          <cell r="S413">
            <v>0</v>
          </cell>
          <cell r="U413">
            <v>0</v>
          </cell>
          <cell r="W413">
            <v>0</v>
          </cell>
        </row>
        <row r="414">
          <cell r="I414" t="str">
            <v/>
          </cell>
        </row>
        <row r="415">
          <cell r="G415" t="str">
            <v>&lt;Select&gt;</v>
          </cell>
          <cell r="I415" t="str">
            <v/>
          </cell>
        </row>
        <row r="416">
          <cell r="G416" t="str">
            <v>Deposition of acceptable material in embankments and other areas of fill</v>
          </cell>
          <cell r="H416" t="str">
            <v>m3</v>
          </cell>
          <cell r="I416">
            <v>7.53132224275</v>
          </cell>
          <cell r="K416">
            <v>13.992805425765928</v>
          </cell>
          <cell r="M416">
            <v>0.84</v>
          </cell>
          <cell r="O416">
            <v>0</v>
          </cell>
          <cell r="Q416">
            <v>0</v>
          </cell>
          <cell r="S416">
            <v>0</v>
          </cell>
          <cell r="U416">
            <v>0</v>
          </cell>
          <cell r="W416">
            <v>0</v>
          </cell>
        </row>
        <row r="417">
          <cell r="G417" t="str">
            <v>Deposition of acceptable material in fill to structures</v>
          </cell>
          <cell r="H417" t="str">
            <v>m3</v>
          </cell>
          <cell r="I417">
            <v>14.8873024725</v>
          </cell>
          <cell r="K417">
            <v>28.158982424672768</v>
          </cell>
          <cell r="M417">
            <v>0.84</v>
          </cell>
          <cell r="O417">
            <v>1.722</v>
          </cell>
          <cell r="Q417">
            <v>0</v>
          </cell>
          <cell r="S417">
            <v>0</v>
          </cell>
          <cell r="U417">
            <v>1.722</v>
          </cell>
          <cell r="W417">
            <v>0</v>
          </cell>
        </row>
        <row r="418">
          <cell r="G418" t="str">
            <v>Deposition of acceptable material in fill above structural concrete foundations</v>
          </cell>
          <cell r="H418" t="str">
            <v>m3</v>
          </cell>
          <cell r="I418">
            <v>16.505502935625</v>
          </cell>
          <cell r="K418">
            <v>29.275152016685432</v>
          </cell>
          <cell r="M418">
            <v>0.84</v>
          </cell>
          <cell r="O418">
            <v>1.722</v>
          </cell>
          <cell r="Q418">
            <v>0</v>
          </cell>
          <cell r="S418">
            <v>0</v>
          </cell>
          <cell r="U418">
            <v>1.722</v>
          </cell>
          <cell r="W418">
            <v>0</v>
          </cell>
        </row>
        <row r="419">
          <cell r="G419" t="str">
            <v>Deposition of acceptable material in fill on sub-base, roadbase and capping</v>
          </cell>
          <cell r="H419" t="str">
            <v>m3</v>
          </cell>
          <cell r="I419">
            <v>11.552243527624999</v>
          </cell>
          <cell r="K419">
            <v>21.039695360532576</v>
          </cell>
          <cell r="M419">
            <v>0.84</v>
          </cell>
          <cell r="O419">
            <v>1.722</v>
          </cell>
          <cell r="Q419">
            <v>0</v>
          </cell>
          <cell r="S419">
            <v>0</v>
          </cell>
          <cell r="U419">
            <v>1.722</v>
          </cell>
          <cell r="W419">
            <v>0</v>
          </cell>
        </row>
        <row r="420">
          <cell r="O420">
            <v>0</v>
          </cell>
          <cell r="Q420">
            <v>0</v>
          </cell>
          <cell r="S420">
            <v>0</v>
          </cell>
          <cell r="U420">
            <v>0</v>
          </cell>
          <cell r="W420">
            <v>0</v>
          </cell>
        </row>
        <row r="421">
          <cell r="I421" t="str">
            <v/>
          </cell>
        </row>
        <row r="422">
          <cell r="G422" t="str">
            <v>&lt;Select&gt;</v>
          </cell>
          <cell r="I422" t="str">
            <v/>
          </cell>
        </row>
        <row r="423">
          <cell r="G423" t="str">
            <v>Disposal of acceptable material excluding Class 5A</v>
          </cell>
          <cell r="H423" t="str">
            <v>m3</v>
          </cell>
          <cell r="I423">
            <v>16.289962516838749</v>
          </cell>
          <cell r="K423">
            <v>17.180623119873086</v>
          </cell>
          <cell r="M423">
            <v>12.53</v>
          </cell>
          <cell r="O423">
            <v>20.6</v>
          </cell>
          <cell r="Q423">
            <v>0</v>
          </cell>
          <cell r="S423">
            <v>0</v>
          </cell>
          <cell r="U423">
            <v>20.6</v>
          </cell>
          <cell r="W423">
            <v>0</v>
          </cell>
        </row>
        <row r="424">
          <cell r="G424" t="str">
            <v>Disposal of acceptable material Class 5A</v>
          </cell>
          <cell r="H424" t="str">
            <v>m3</v>
          </cell>
          <cell r="I424">
            <v>14.316899997963752</v>
          </cell>
          <cell r="K424">
            <v>15.422723897339894</v>
          </cell>
          <cell r="M424">
            <v>12.53</v>
          </cell>
          <cell r="O424">
            <v>20.6</v>
          </cell>
          <cell r="Q424">
            <v>0</v>
          </cell>
          <cell r="S424">
            <v>0</v>
          </cell>
          <cell r="U424">
            <v>20.6</v>
          </cell>
          <cell r="W424">
            <v>0</v>
          </cell>
        </row>
        <row r="425">
          <cell r="G425" t="str">
            <v>Disposal of unacceptable material Class U1</v>
          </cell>
          <cell r="H425" t="str">
            <v>m3</v>
          </cell>
          <cell r="I425">
            <v>22.580312854963751</v>
          </cell>
          <cell r="K425">
            <v>25.688197346488398</v>
          </cell>
          <cell r="M425">
            <v>17.04</v>
          </cell>
          <cell r="O425">
            <v>20.6</v>
          </cell>
          <cell r="Q425">
            <v>0</v>
          </cell>
          <cell r="S425">
            <v>0</v>
          </cell>
          <cell r="U425">
            <v>20.6</v>
          </cell>
          <cell r="W425">
            <v>0</v>
          </cell>
        </row>
        <row r="426">
          <cell r="O426">
            <v>0</v>
          </cell>
          <cell r="Q426">
            <v>0</v>
          </cell>
          <cell r="S426">
            <v>0</v>
          </cell>
          <cell r="U426">
            <v>0</v>
          </cell>
          <cell r="W426">
            <v>0</v>
          </cell>
        </row>
        <row r="427">
          <cell r="I427" t="str">
            <v/>
          </cell>
        </row>
        <row r="428">
          <cell r="G428" t="str">
            <v>&lt;Select&gt;</v>
          </cell>
          <cell r="I428" t="str">
            <v/>
          </cell>
        </row>
        <row r="429">
          <cell r="G429" t="str">
            <v>Imported acceptable material in embankments and other areas of fill</v>
          </cell>
          <cell r="H429" t="str">
            <v>m3</v>
          </cell>
          <cell r="I429">
            <v>21.767443693447916</v>
          </cell>
          <cell r="K429">
            <v>22.051544197782157</v>
          </cell>
          <cell r="M429">
            <v>25.44</v>
          </cell>
          <cell r="O429">
            <v>39.763937500000004</v>
          </cell>
          <cell r="Q429">
            <v>29.389937499999998</v>
          </cell>
          <cell r="S429">
            <v>6.9300000000000006</v>
          </cell>
          <cell r="U429">
            <v>3.444</v>
          </cell>
          <cell r="W429">
            <v>1750</v>
          </cell>
        </row>
        <row r="430">
          <cell r="G430" t="str">
            <v>Imported 6F3 material in capping</v>
          </cell>
          <cell r="H430" t="str">
            <v>m3</v>
          </cell>
          <cell r="I430">
            <v>27.5</v>
          </cell>
          <cell r="K430">
            <v>29</v>
          </cell>
          <cell r="M430">
            <v>30.32</v>
          </cell>
          <cell r="O430">
            <v>44.952500000000008</v>
          </cell>
          <cell r="Q430">
            <v>33.588500000000003</v>
          </cell>
          <cell r="S430">
            <v>7.9200000000000008</v>
          </cell>
          <cell r="U430">
            <v>3.444</v>
          </cell>
          <cell r="W430">
            <v>2000</v>
          </cell>
        </row>
        <row r="431">
          <cell r="G431" t="str">
            <v>Imported acceptable material in fill to structures</v>
          </cell>
          <cell r="H431" t="str">
            <v>m3</v>
          </cell>
          <cell r="I431">
            <v>24.353206288750002</v>
          </cell>
          <cell r="K431">
            <v>25.017382578981518</v>
          </cell>
          <cell r="M431">
            <v>25.44</v>
          </cell>
          <cell r="O431">
            <v>39.763937500000004</v>
          </cell>
          <cell r="Q431">
            <v>29.389937499999998</v>
          </cell>
          <cell r="S431">
            <v>6.9300000000000006</v>
          </cell>
          <cell r="U431">
            <v>3.444</v>
          </cell>
          <cell r="W431">
            <v>1750</v>
          </cell>
        </row>
        <row r="432">
          <cell r="G432" t="str">
            <v>Imported acceptable material Class 6N in fill to structures</v>
          </cell>
          <cell r="H432" t="str">
            <v>m3</v>
          </cell>
          <cell r="I432">
            <v>26.761938516000001</v>
          </cell>
          <cell r="K432">
            <v>27.974495370472845</v>
          </cell>
          <cell r="M432">
            <v>32.840000000000003</v>
          </cell>
          <cell r="O432">
            <v>44.952500000000008</v>
          </cell>
          <cell r="Q432">
            <v>33.588500000000003</v>
          </cell>
          <cell r="S432">
            <v>7.9200000000000008</v>
          </cell>
          <cell r="U432">
            <v>3.444</v>
          </cell>
          <cell r="W432">
            <v>2000</v>
          </cell>
        </row>
        <row r="433">
          <cell r="G433" t="str">
            <v>Imported acceptable material in fill above structural concrete foundations</v>
          </cell>
          <cell r="H433" t="str">
            <v>m3</v>
          </cell>
          <cell r="I433">
            <v>23.943326001875</v>
          </cell>
          <cell r="K433">
            <v>24.386439844373452</v>
          </cell>
          <cell r="M433">
            <v>25.44</v>
          </cell>
          <cell r="O433">
            <v>44.952500000000008</v>
          </cell>
          <cell r="Q433">
            <v>33.588500000000003</v>
          </cell>
          <cell r="S433">
            <v>7.9200000000000008</v>
          </cell>
          <cell r="U433">
            <v>3.444</v>
          </cell>
          <cell r="W433">
            <v>2000</v>
          </cell>
        </row>
        <row r="434">
          <cell r="G434" t="str">
            <v>Imported acceptable material Class 6N in fill above structural concrete foundations</v>
          </cell>
          <cell r="H434" t="str">
            <v>m3</v>
          </cell>
          <cell r="I434">
            <v>26.016592729125001</v>
          </cell>
          <cell r="K434">
            <v>26.703555416170936</v>
          </cell>
          <cell r="M434">
            <v>32.450000000000003</v>
          </cell>
          <cell r="O434">
            <v>44.952500000000008</v>
          </cell>
          <cell r="Q434">
            <v>33.588500000000003</v>
          </cell>
          <cell r="S434">
            <v>7.9200000000000008</v>
          </cell>
          <cell r="U434">
            <v>3.444</v>
          </cell>
          <cell r="W434">
            <v>2000</v>
          </cell>
        </row>
        <row r="435">
          <cell r="G435" t="str">
            <v>Imported acceptable material in fill on sub-base material, roadbase and capping.</v>
          </cell>
          <cell r="H435" t="str">
            <v>m3</v>
          </cell>
          <cell r="I435">
            <v>22.623757667875001</v>
          </cell>
          <cell r="K435">
            <v>22.932022069984701</v>
          </cell>
          <cell r="M435">
            <v>25.44</v>
          </cell>
          <cell r="O435">
            <v>39.763937500000004</v>
          </cell>
          <cell r="Q435">
            <v>29.389937499999998</v>
          </cell>
          <cell r="S435">
            <v>6.9300000000000006</v>
          </cell>
          <cell r="U435">
            <v>3.444</v>
          </cell>
          <cell r="W435">
            <v>1750</v>
          </cell>
        </row>
        <row r="436">
          <cell r="G436" t="str">
            <v>Imported topsoil Class 5B</v>
          </cell>
          <cell r="H436" t="str">
            <v>m3</v>
          </cell>
          <cell r="I436">
            <v>16.047036546375001</v>
          </cell>
          <cell r="K436">
            <v>16.240111554795842</v>
          </cell>
          <cell r="M436">
            <v>19.53</v>
          </cell>
          <cell r="O436">
            <v>24.198250000000002</v>
          </cell>
          <cell r="Q436">
            <v>16.794250000000002</v>
          </cell>
          <cell r="S436">
            <v>3.9600000000000004</v>
          </cell>
          <cell r="U436">
            <v>3.444</v>
          </cell>
          <cell r="W436">
            <v>1000</v>
          </cell>
        </row>
        <row r="437">
          <cell r="O437">
            <v>0</v>
          </cell>
          <cell r="Q437">
            <v>0</v>
          </cell>
          <cell r="S437">
            <v>0</v>
          </cell>
          <cell r="U437">
            <v>0</v>
          </cell>
          <cell r="W437">
            <v>0</v>
          </cell>
        </row>
        <row r="438">
          <cell r="I438" t="str">
            <v/>
          </cell>
        </row>
        <row r="439">
          <cell r="G439" t="str">
            <v>&lt;Select&gt;</v>
          </cell>
          <cell r="I439" t="str">
            <v/>
          </cell>
        </row>
        <row r="440">
          <cell r="G440" t="str">
            <v>Compaction of acceptable material in embankments and other areas of fill</v>
          </cell>
          <cell r="H440" t="str">
            <v>m3</v>
          </cell>
          <cell r="I440">
            <v>1.5125521451249999</v>
          </cell>
          <cell r="K440">
            <v>1.9606388264468659</v>
          </cell>
          <cell r="M440">
            <v>0.33</v>
          </cell>
          <cell r="O440">
            <v>0</v>
          </cell>
          <cell r="Q440">
            <v>0</v>
          </cell>
          <cell r="S440">
            <v>0</v>
          </cell>
          <cell r="U440">
            <v>0</v>
          </cell>
          <cell r="W440">
            <v>0</v>
          </cell>
        </row>
        <row r="441">
          <cell r="G441" t="str">
            <v>Compaction of acceptable material in fill to structures</v>
          </cell>
          <cell r="H441" t="str">
            <v>m3</v>
          </cell>
          <cell r="I441">
            <v>2.8742224754999999</v>
          </cell>
          <cell r="K441">
            <v>4.3516819803574451</v>
          </cell>
          <cell r="M441">
            <v>0.67</v>
          </cell>
          <cell r="O441">
            <v>2.2959999999999998</v>
          </cell>
          <cell r="Q441">
            <v>0</v>
          </cell>
          <cell r="S441">
            <v>0</v>
          </cell>
          <cell r="U441">
            <v>2.2959999999999998</v>
          </cell>
          <cell r="W441">
            <v>0</v>
          </cell>
        </row>
        <row r="442">
          <cell r="G442" t="str">
            <v>Compaction of acceptable material in fill above structural concrete foundations</v>
          </cell>
          <cell r="H442" t="str">
            <v>m3</v>
          </cell>
          <cell r="I442">
            <v>4.4213411504999991</v>
          </cell>
          <cell r="K442">
            <v>8.2952240076714947</v>
          </cell>
          <cell r="M442">
            <v>2.66</v>
          </cell>
          <cell r="O442">
            <v>2.2959999999999998</v>
          </cell>
          <cell r="Q442">
            <v>0</v>
          </cell>
          <cell r="S442">
            <v>0</v>
          </cell>
          <cell r="U442">
            <v>2.2959999999999998</v>
          </cell>
          <cell r="W442">
            <v>0</v>
          </cell>
        </row>
        <row r="443">
          <cell r="G443" t="str">
            <v>Compaction of acceptable material in fill on sub-base material, roadbase and capping</v>
          </cell>
          <cell r="H443" t="str">
            <v>m3</v>
          </cell>
          <cell r="I443">
            <v>2.9151621990000005</v>
          </cell>
          <cell r="K443">
            <v>3.7217137010865988</v>
          </cell>
          <cell r="M443">
            <v>1.33</v>
          </cell>
          <cell r="O443">
            <v>2.2959999999999998</v>
          </cell>
          <cell r="Q443">
            <v>0</v>
          </cell>
          <cell r="S443">
            <v>0</v>
          </cell>
          <cell r="U443">
            <v>2.2959999999999998</v>
          </cell>
          <cell r="W443">
            <v>0</v>
          </cell>
        </row>
        <row r="444">
          <cell r="O444">
            <v>0</v>
          </cell>
          <cell r="Q444">
            <v>0</v>
          </cell>
          <cell r="S444">
            <v>0</v>
          </cell>
          <cell r="U444">
            <v>0</v>
          </cell>
          <cell r="W444">
            <v>0</v>
          </cell>
        </row>
        <row r="445">
          <cell r="I445" t="str">
            <v/>
          </cell>
        </row>
        <row r="446">
          <cell r="G446" t="str">
            <v>&lt;Select&gt;</v>
          </cell>
          <cell r="I446" t="str">
            <v/>
          </cell>
        </row>
        <row r="447">
          <cell r="G447" t="str">
            <v>Geotextiles, Geotextile; Terram 1000 or similar approved</v>
          </cell>
          <cell r="H447" t="str">
            <v>m2</v>
          </cell>
          <cell r="I447">
            <v>0.68</v>
          </cell>
          <cell r="K447">
            <v>1</v>
          </cell>
          <cell r="M447">
            <v>2.52</v>
          </cell>
          <cell r="O447">
            <v>28.08</v>
          </cell>
          <cell r="Q447">
            <v>0</v>
          </cell>
          <cell r="S447">
            <v>0</v>
          </cell>
          <cell r="U447">
            <v>28.08</v>
          </cell>
          <cell r="W447">
            <v>0</v>
          </cell>
        </row>
        <row r="448">
          <cell r="G448" t="str">
            <v>Geotextiles, Geotextile; Terram 2000 or similar approved</v>
          </cell>
          <cell r="H448" t="str">
            <v>m2</v>
          </cell>
          <cell r="I448">
            <v>1.02</v>
          </cell>
          <cell r="K448">
            <v>1.5</v>
          </cell>
          <cell r="M448">
            <v>4.93</v>
          </cell>
          <cell r="O448">
            <v>28.864423199999997</v>
          </cell>
          <cell r="Q448">
            <v>0.78328799999999998</v>
          </cell>
          <cell r="S448">
            <v>1.1352000000000001E-3</v>
          </cell>
          <cell r="U448">
            <v>28.08</v>
          </cell>
          <cell r="W448">
            <v>0.215</v>
          </cell>
        </row>
        <row r="449">
          <cell r="G449" t="str">
            <v>Geotextiles, Polypropelene Geogrid; Tensar SS30 or similar approved</v>
          </cell>
          <cell r="H449" t="str">
            <v>m2</v>
          </cell>
          <cell r="I449">
            <v>2.8</v>
          </cell>
          <cell r="K449">
            <v>4.5</v>
          </cell>
          <cell r="M449">
            <v>4.54</v>
          </cell>
          <cell r="O449">
            <v>28.08</v>
          </cell>
          <cell r="Q449">
            <v>0</v>
          </cell>
          <cell r="S449">
            <v>0</v>
          </cell>
          <cell r="U449">
            <v>28.08</v>
          </cell>
          <cell r="W449">
            <v>0</v>
          </cell>
        </row>
        <row r="450">
          <cell r="G450" t="str">
            <v>Geotextiles, Polypropelene Geogrid; Tensar SS40 or similar approved</v>
          </cell>
          <cell r="H450" t="str">
            <v>m2</v>
          </cell>
          <cell r="I450">
            <v>3.43</v>
          </cell>
          <cell r="K450">
            <v>5</v>
          </cell>
          <cell r="M450">
            <v>8</v>
          </cell>
          <cell r="O450">
            <v>28.08</v>
          </cell>
          <cell r="Q450">
            <v>0</v>
          </cell>
          <cell r="S450">
            <v>0</v>
          </cell>
          <cell r="U450">
            <v>28.08</v>
          </cell>
          <cell r="W450">
            <v>0</v>
          </cell>
        </row>
        <row r="451">
          <cell r="G451" t="str">
            <v>Geotextiles, Polyethylene mesh (Tensar Mat 400 or similar approved); fixed with Tensar pegs</v>
          </cell>
          <cell r="H451" t="str">
            <v>m2</v>
          </cell>
          <cell r="I451">
            <v>4.7699999999999996</v>
          </cell>
          <cell r="K451">
            <v>7.5</v>
          </cell>
          <cell r="M451">
            <v>6.61</v>
          </cell>
          <cell r="O451">
            <v>28.08</v>
          </cell>
          <cell r="Q451">
            <v>0</v>
          </cell>
          <cell r="S451">
            <v>0</v>
          </cell>
          <cell r="U451">
            <v>28.08</v>
          </cell>
          <cell r="W451">
            <v>0</v>
          </cell>
        </row>
        <row r="452">
          <cell r="O452">
            <v>0</v>
          </cell>
          <cell r="Q452">
            <v>0</v>
          </cell>
          <cell r="S452">
            <v>0</v>
          </cell>
          <cell r="U452">
            <v>0</v>
          </cell>
          <cell r="W452">
            <v>0</v>
          </cell>
        </row>
        <row r="453">
          <cell r="I453" t="str">
            <v/>
          </cell>
        </row>
        <row r="454">
          <cell r="G454" t="str">
            <v>&lt;Select&gt;</v>
          </cell>
          <cell r="I454" t="str">
            <v/>
          </cell>
        </row>
        <row r="455">
          <cell r="G455" t="str">
            <v>Excavation of soft spots and other voids below cuttings or under embankments</v>
          </cell>
          <cell r="H455" t="str">
            <v>m3</v>
          </cell>
          <cell r="I455">
            <v>11.170538594249999</v>
          </cell>
          <cell r="K455">
            <v>14.835345941063908</v>
          </cell>
          <cell r="M455">
            <v>5.77</v>
          </cell>
          <cell r="O455">
            <v>0</v>
          </cell>
          <cell r="Q455">
            <v>0</v>
          </cell>
          <cell r="S455">
            <v>0</v>
          </cell>
          <cell r="U455">
            <v>0</v>
          </cell>
          <cell r="W455">
            <v>0</v>
          </cell>
        </row>
        <row r="456">
          <cell r="G456" t="str">
            <v>Excavation of soft spots or other voids in side slopes</v>
          </cell>
          <cell r="H456" t="str">
            <v>m3</v>
          </cell>
          <cell r="I456">
            <v>11.897627340250001</v>
          </cell>
          <cell r="K456">
            <v>16.087864006513673</v>
          </cell>
          <cell r="M456">
            <v>6.92</v>
          </cell>
          <cell r="O456">
            <v>0</v>
          </cell>
          <cell r="Q456">
            <v>0</v>
          </cell>
          <cell r="S456">
            <v>0</v>
          </cell>
          <cell r="U456">
            <v>0</v>
          </cell>
          <cell r="W456">
            <v>0</v>
          </cell>
        </row>
        <row r="457">
          <cell r="G457" t="str">
            <v>Excavation of soft spots or other voids below structural foundations and foundations for corrugated steel buried structures</v>
          </cell>
          <cell r="H457" t="str">
            <v>m3</v>
          </cell>
          <cell r="I457">
            <v>16.475940909999998</v>
          </cell>
          <cell r="K457">
            <v>23.337725546793081</v>
          </cell>
          <cell r="M457">
            <v>2.99</v>
          </cell>
          <cell r="O457">
            <v>0</v>
          </cell>
          <cell r="Q457">
            <v>0</v>
          </cell>
          <cell r="S457">
            <v>0</v>
          </cell>
          <cell r="U457">
            <v>0</v>
          </cell>
          <cell r="W457">
            <v>0</v>
          </cell>
        </row>
        <row r="458">
          <cell r="G458" t="str">
            <v>Filling of soft spots or other voids below cuttings or under embankments with suitable material</v>
          </cell>
          <cell r="H458" t="str">
            <v>m3</v>
          </cell>
          <cell r="I458">
            <v>15.509078278374998</v>
          </cell>
          <cell r="K458">
            <v>18.963170677391059</v>
          </cell>
          <cell r="M458">
            <v>22.13</v>
          </cell>
          <cell r="O458">
            <v>0</v>
          </cell>
          <cell r="Q458">
            <v>0</v>
          </cell>
          <cell r="S458">
            <v>0</v>
          </cell>
          <cell r="U458">
            <v>0</v>
          </cell>
          <cell r="W458">
            <v>0</v>
          </cell>
        </row>
        <row r="459">
          <cell r="G459" t="str">
            <v>Filling of soft spots or other voids in side slopes with suitable material</v>
          </cell>
          <cell r="H459" t="str">
            <v>m3</v>
          </cell>
          <cell r="I459">
            <v>16.241048924375001</v>
          </cell>
          <cell r="K459">
            <v>20.006153806863939</v>
          </cell>
          <cell r="M459">
            <v>22.48</v>
          </cell>
          <cell r="O459">
            <v>0</v>
          </cell>
          <cell r="Q459">
            <v>0</v>
          </cell>
          <cell r="S459">
            <v>0</v>
          </cell>
          <cell r="U459">
            <v>0</v>
          </cell>
          <cell r="W459">
            <v>0</v>
          </cell>
        </row>
        <row r="460">
          <cell r="O460">
            <v>0</v>
          </cell>
          <cell r="Q460">
            <v>0</v>
          </cell>
          <cell r="S460">
            <v>0</v>
          </cell>
          <cell r="U460">
            <v>0</v>
          </cell>
          <cell r="W460">
            <v>0</v>
          </cell>
        </row>
        <row r="461">
          <cell r="I461" t="str">
            <v/>
          </cell>
        </row>
        <row r="462">
          <cell r="G462" t="str">
            <v>&lt;Select&gt;</v>
          </cell>
          <cell r="I462" t="str">
            <v/>
          </cell>
        </row>
        <row r="463">
          <cell r="G463" t="str">
            <v>Topsoiling 100mm thick to surfaces sloping at 10 or less to the horizontal</v>
          </cell>
          <cell r="H463" t="str">
            <v>m2</v>
          </cell>
          <cell r="I463">
            <v>1.33672860775</v>
          </cell>
          <cell r="K463">
            <v>1.4326846127155697</v>
          </cell>
          <cell r="M463">
            <v>4.04</v>
          </cell>
          <cell r="O463">
            <v>35.743679999999998</v>
          </cell>
          <cell r="Q463">
            <v>34.603200000000001</v>
          </cell>
          <cell r="S463">
            <v>1.1404800000000002</v>
          </cell>
          <cell r="U463">
            <v>0</v>
          </cell>
          <cell r="W463">
            <v>432</v>
          </cell>
        </row>
        <row r="464">
          <cell r="G464" t="str">
            <v>Topsoiling 100mm thick to surfaces sloping at more than 10 to the horizontal</v>
          </cell>
          <cell r="H464" t="str">
            <v>m2</v>
          </cell>
          <cell r="I464">
            <v>1.5093550797499999</v>
          </cell>
          <cell r="K464">
            <v>1.6675254498305281</v>
          </cell>
          <cell r="M464">
            <v>4.62</v>
          </cell>
          <cell r="O464">
            <v>35.743679999999998</v>
          </cell>
          <cell r="Q464">
            <v>34.603200000000001</v>
          </cell>
          <cell r="S464">
            <v>1.1404800000000002</v>
          </cell>
          <cell r="U464">
            <v>0</v>
          </cell>
          <cell r="W464">
            <v>432</v>
          </cell>
        </row>
        <row r="465">
          <cell r="G465" t="str">
            <v>Topsoiling 150mm thick to surfaces sloping at 10 or less to the horizontal</v>
          </cell>
          <cell r="H465" t="str">
            <v>m2</v>
          </cell>
          <cell r="I465">
            <v>1.6914989637500002</v>
          </cell>
          <cell r="K465">
            <v>1.8230101770675098</v>
          </cell>
          <cell r="M465">
            <v>4.04</v>
          </cell>
          <cell r="O465">
            <v>53.615519999999997</v>
          </cell>
          <cell r="Q465">
            <v>51.904799999999994</v>
          </cell>
          <cell r="S465">
            <v>1.7107200000000002</v>
          </cell>
          <cell r="U465">
            <v>0</v>
          </cell>
          <cell r="W465">
            <v>648</v>
          </cell>
        </row>
        <row r="466">
          <cell r="G466" t="str">
            <v>Topsoiling 150mm thick to surfaces sloping at more than 10 to the horizontal</v>
          </cell>
          <cell r="H466" t="str">
            <v>m2</v>
          </cell>
          <cell r="I466">
            <v>1.8071739877499999</v>
          </cell>
          <cell r="K466">
            <v>1.9416213590354827</v>
          </cell>
          <cell r="M466">
            <v>4.62</v>
          </cell>
          <cell r="O466">
            <v>53.615519999999997</v>
          </cell>
          <cell r="Q466">
            <v>51.904799999999994</v>
          </cell>
          <cell r="S466">
            <v>1.7107200000000002</v>
          </cell>
          <cell r="U466">
            <v>0</v>
          </cell>
          <cell r="W466">
            <v>648</v>
          </cell>
        </row>
        <row r="467">
          <cell r="O467">
            <v>0</v>
          </cell>
          <cell r="Q467">
            <v>0</v>
          </cell>
          <cell r="S467">
            <v>0</v>
          </cell>
          <cell r="U467">
            <v>0</v>
          </cell>
          <cell r="W467">
            <v>0</v>
          </cell>
        </row>
        <row r="468">
          <cell r="I468" t="str">
            <v/>
          </cell>
        </row>
        <row r="469">
          <cell r="G469" t="str">
            <v>&lt;Select&gt;</v>
          </cell>
          <cell r="I469" t="str">
            <v/>
          </cell>
        </row>
        <row r="470">
          <cell r="G470" t="str">
            <v>Completion of formation on material other than Class 1C, 6B or rock in cuttings</v>
          </cell>
          <cell r="H470" t="str">
            <v>m2</v>
          </cell>
          <cell r="I470">
            <v>0.80082710550000002</v>
          </cell>
          <cell r="K470">
            <v>0.96388487453608829</v>
          </cell>
          <cell r="M470">
            <v>0.68</v>
          </cell>
        </row>
        <row r="471">
          <cell r="O471">
            <v>0</v>
          </cell>
          <cell r="Q471">
            <v>0</v>
          </cell>
          <cell r="S471">
            <v>0</v>
          </cell>
          <cell r="U471">
            <v>0</v>
          </cell>
          <cell r="W471">
            <v>0</v>
          </cell>
        </row>
        <row r="472">
          <cell r="I472" t="str">
            <v/>
          </cell>
        </row>
        <row r="473">
          <cell r="G473" t="str">
            <v>&lt;Select&gt;</v>
          </cell>
          <cell r="I473" t="str">
            <v/>
          </cell>
        </row>
        <row r="474">
          <cell r="G474" t="str">
            <v>Gabion walling with plastic coated galvanised wire mesh, wire laced; filled with 50mm 6G material 2.0 x 1.0 x 1.0m module sizes</v>
          </cell>
          <cell r="H474" t="str">
            <v>m3</v>
          </cell>
          <cell r="I474">
            <v>100</v>
          </cell>
          <cell r="K474">
            <v>120</v>
          </cell>
          <cell r="M474">
            <v>103.31</v>
          </cell>
          <cell r="O474">
            <v>13.867139899999998</v>
          </cell>
          <cell r="Q474">
            <v>13.827487099999997</v>
          </cell>
          <cell r="S474">
            <v>3.9652800000000002E-2</v>
          </cell>
          <cell r="U474">
            <v>0</v>
          </cell>
          <cell r="W474">
            <v>7.51</v>
          </cell>
        </row>
        <row r="475">
          <cell r="G475" t="str">
            <v>Gabion walling with plastic coated galvanised wire mesh, wire laced; filled with 50mm 6G material 2.0 x 1.0 x 0.5m module sizes</v>
          </cell>
          <cell r="H475" t="str">
            <v>m3</v>
          </cell>
          <cell r="I475">
            <v>135</v>
          </cell>
          <cell r="K475">
            <v>165</v>
          </cell>
          <cell r="M475">
            <v>141.38</v>
          </cell>
          <cell r="O475">
            <v>13.867139899999998</v>
          </cell>
          <cell r="Q475">
            <v>13.827487099999997</v>
          </cell>
          <cell r="S475">
            <v>3.9652800000000002E-2</v>
          </cell>
          <cell r="U475">
            <v>0</v>
          </cell>
          <cell r="W475">
            <v>7.51</v>
          </cell>
        </row>
        <row r="476">
          <cell r="G476" t="str">
            <v>Gabion walling with plastic coated galvanised wire mesh, wire laced; filled with 50mm 6G material 1.0 x 1.0 x 1.0m module sizes</v>
          </cell>
          <cell r="H476" t="str">
            <v>m3</v>
          </cell>
          <cell r="I476">
            <v>125</v>
          </cell>
          <cell r="K476">
            <v>150</v>
          </cell>
          <cell r="O476">
            <v>13.867139899999998</v>
          </cell>
          <cell r="Q476">
            <v>13.827487099999997</v>
          </cell>
          <cell r="S476">
            <v>3.9652800000000002E-2</v>
          </cell>
          <cell r="U476">
            <v>0</v>
          </cell>
          <cell r="W476">
            <v>7.51</v>
          </cell>
        </row>
        <row r="477">
          <cell r="G477" t="str">
            <v>Gabion walling with heavily galvanised woven wire mesh, wire laced; filled with 50mm 6G material 2.0 x 1.0 x 1.0m module sizes</v>
          </cell>
          <cell r="H477" t="str">
            <v>m3</v>
          </cell>
          <cell r="I477">
            <v>105</v>
          </cell>
          <cell r="K477">
            <v>126</v>
          </cell>
          <cell r="M477">
            <v>105.48</v>
          </cell>
          <cell r="O477">
            <v>13.867139899999998</v>
          </cell>
          <cell r="Q477">
            <v>13.827487099999997</v>
          </cell>
          <cell r="S477">
            <v>3.9652800000000002E-2</v>
          </cell>
          <cell r="U477">
            <v>0</v>
          </cell>
          <cell r="W477">
            <v>7.51</v>
          </cell>
        </row>
        <row r="478">
          <cell r="G478" t="str">
            <v>Gabion walling with heavily galvanised woven wire mesh, wire laced; filled with 50mm 6G material 2.0 x 1.0 x 0.5m module sizes</v>
          </cell>
          <cell r="H478" t="str">
            <v>m3</v>
          </cell>
          <cell r="I478">
            <v>140</v>
          </cell>
          <cell r="K478">
            <v>168</v>
          </cell>
          <cell r="M478">
            <v>131.02000000000001</v>
          </cell>
          <cell r="O478">
            <v>13.867139899999998</v>
          </cell>
          <cell r="Q478">
            <v>13.827487099999997</v>
          </cell>
          <cell r="S478">
            <v>3.9652800000000002E-2</v>
          </cell>
          <cell r="U478">
            <v>0</v>
          </cell>
          <cell r="W478">
            <v>7.51</v>
          </cell>
        </row>
        <row r="479">
          <cell r="G479" t="str">
            <v>Gabion walling with heavily galvanised woven wire mesh, wire laced; filled with 50mm 6G material 1.0 x 1.0 x 1.0m module sizes</v>
          </cell>
          <cell r="H479" t="str">
            <v>m3</v>
          </cell>
          <cell r="I479">
            <v>130</v>
          </cell>
          <cell r="K479">
            <v>156</v>
          </cell>
          <cell r="O479">
            <v>13.867139899999998</v>
          </cell>
          <cell r="Q479">
            <v>13.827487099999997</v>
          </cell>
          <cell r="S479">
            <v>3.9652800000000002E-2</v>
          </cell>
          <cell r="U479">
            <v>0</v>
          </cell>
          <cell r="W479">
            <v>7.51</v>
          </cell>
        </row>
        <row r="480">
          <cell r="G480" t="str">
            <v>Mattress with plastic coated galvanised wire mesh; filled with 50mm 6G material 6.0 x 2.0 x 0.3m module sizes</v>
          </cell>
          <cell r="H480" t="str">
            <v>m3</v>
          </cell>
          <cell r="I480">
            <v>115</v>
          </cell>
          <cell r="K480">
            <v>138</v>
          </cell>
          <cell r="M480">
            <v>115.79</v>
          </cell>
          <cell r="O480">
            <v>80.098514899999998</v>
          </cell>
          <cell r="Q480">
            <v>39.0188621</v>
          </cell>
          <cell r="S480">
            <v>5.9796528000000002</v>
          </cell>
          <cell r="U480">
            <v>35.1</v>
          </cell>
          <cell r="W480">
            <v>1507.51</v>
          </cell>
        </row>
        <row r="481">
          <cell r="O481">
            <v>0</v>
          </cell>
          <cell r="Q481">
            <v>0</v>
          </cell>
          <cell r="S481">
            <v>0</v>
          </cell>
          <cell r="U481">
            <v>0</v>
          </cell>
          <cell r="W481">
            <v>0</v>
          </cell>
        </row>
        <row r="482">
          <cell r="I482" t="str">
            <v/>
          </cell>
        </row>
        <row r="483">
          <cell r="G483" t="str">
            <v>&lt;Select&gt;</v>
          </cell>
          <cell r="I483" t="str">
            <v/>
          </cell>
        </row>
        <row r="484">
          <cell r="G484" t="str">
            <v>Trial pit 0 to 3 metres in depth</v>
          </cell>
          <cell r="H484" t="str">
            <v>m3</v>
          </cell>
          <cell r="I484">
            <v>59.951691503619998</v>
          </cell>
          <cell r="K484">
            <v>65.843966051046607</v>
          </cell>
        </row>
        <row r="485">
          <cell r="G485" t="str">
            <v>Trial pit 0 to 6 metres in depth</v>
          </cell>
          <cell r="H485" t="str">
            <v>m3</v>
          </cell>
          <cell r="I485">
            <v>70.637183242601864</v>
          </cell>
          <cell r="K485">
            <v>99.825927642333681</v>
          </cell>
        </row>
        <row r="486">
          <cell r="O486">
            <v>0</v>
          </cell>
          <cell r="Q486">
            <v>0</v>
          </cell>
          <cell r="S486">
            <v>0</v>
          </cell>
          <cell r="U486">
            <v>0</v>
          </cell>
          <cell r="W486">
            <v>0</v>
          </cell>
        </row>
        <row r="487">
          <cell r="I487" t="str">
            <v/>
          </cell>
        </row>
        <row r="488">
          <cell r="G488" t="str">
            <v>&lt;Select&gt;</v>
          </cell>
          <cell r="I488" t="str">
            <v/>
          </cell>
        </row>
        <row r="489">
          <cell r="G489" t="str">
            <v>Breaking up of redundant concrete pavement exceeding 100mm deep but not exceeding 200mm</v>
          </cell>
          <cell r="H489" t="str">
            <v>m2</v>
          </cell>
          <cell r="I489">
            <v>4.9534897738768748</v>
          </cell>
          <cell r="K489">
            <v>6.2420093926553113</v>
          </cell>
          <cell r="M489">
            <v>6.67</v>
          </cell>
        </row>
        <row r="490">
          <cell r="G490" t="str">
            <v>Breaking up of redundant concrete pavement exceeding 200mm deep but not exceeding 300mm</v>
          </cell>
          <cell r="H490" t="str">
            <v>m2</v>
          </cell>
          <cell r="I490">
            <v>6.6141274591531252</v>
          </cell>
          <cell r="K490">
            <v>8.1575729608480199</v>
          </cell>
        </row>
        <row r="491">
          <cell r="G491" t="str">
            <v>Breaking up of redundant concrete pavement exceeding 300mm deep but not exceeding 400mm</v>
          </cell>
          <cell r="H491" t="str">
            <v>m2</v>
          </cell>
          <cell r="I491">
            <v>9.1777663892762504</v>
          </cell>
          <cell r="K491">
            <v>10.85127987062191</v>
          </cell>
        </row>
        <row r="492">
          <cell r="O492">
            <v>0</v>
          </cell>
          <cell r="Q492">
            <v>0</v>
          </cell>
          <cell r="S492">
            <v>0</v>
          </cell>
          <cell r="U492">
            <v>0</v>
          </cell>
          <cell r="W492">
            <v>0</v>
          </cell>
        </row>
        <row r="493">
          <cell r="I493" t="str">
            <v/>
          </cell>
        </row>
        <row r="494">
          <cell r="I494" t="str">
            <v/>
          </cell>
        </row>
        <row r="495">
          <cell r="I495" t="str">
            <v/>
          </cell>
        </row>
        <row r="496">
          <cell r="G496" t="str">
            <v>&lt;Select&gt;</v>
          </cell>
          <cell r="I496" t="str">
            <v/>
          </cell>
        </row>
        <row r="497">
          <cell r="I497" t="str">
            <v/>
          </cell>
        </row>
        <row r="498">
          <cell r="G498" t="str">
            <v>&lt;Select&gt;</v>
          </cell>
          <cell r="I498" t="str">
            <v/>
          </cell>
        </row>
        <row r="499">
          <cell r="G499" t="str">
            <v>Granular Type 1 sub-base Type SB1 in carriagway, hardshoulder and hardstrip.</v>
          </cell>
          <cell r="H499" t="str">
            <v>m3</v>
          </cell>
          <cell r="I499">
            <v>37.897593288590222</v>
          </cell>
          <cell r="K499">
            <v>39.127983226770226</v>
          </cell>
          <cell r="M499">
            <v>30.34</v>
          </cell>
          <cell r="O499">
            <v>60.378836749999998</v>
          </cell>
          <cell r="Q499">
            <v>41.83447675</v>
          </cell>
          <cell r="S499">
            <v>9.8643600000000013</v>
          </cell>
          <cell r="U499">
            <v>8.68</v>
          </cell>
          <cell r="W499">
            <v>2491</v>
          </cell>
        </row>
        <row r="500">
          <cell r="G500" t="str">
            <v>Granular Type 1 sub-base Type SB1 in emergency crossing.</v>
          </cell>
          <cell r="H500" t="str">
            <v>m3</v>
          </cell>
          <cell r="I500">
            <v>39.796903928815397</v>
          </cell>
          <cell r="K500">
            <v>41.241659215890678</v>
          </cell>
          <cell r="M500">
            <v>31.09</v>
          </cell>
          <cell r="O500">
            <v>60.378836749999998</v>
          </cell>
          <cell r="Q500">
            <v>41.83447675</v>
          </cell>
          <cell r="S500">
            <v>9.8643600000000013</v>
          </cell>
          <cell r="U500">
            <v>8.68</v>
          </cell>
          <cell r="W500">
            <v>2491</v>
          </cell>
        </row>
        <row r="501">
          <cell r="G501" t="str">
            <v>Granular Category B sub-base Type SB2 in carriagway, hardshoulder and hardstrip.</v>
          </cell>
          <cell r="H501" t="str">
            <v>m3</v>
          </cell>
          <cell r="I501">
            <v>37.041339552515403</v>
          </cell>
          <cell r="K501">
            <v>38.437508164009571</v>
          </cell>
          <cell r="M501">
            <v>31.93</v>
          </cell>
          <cell r="O501">
            <v>60.378836749999998</v>
          </cell>
          <cell r="Q501">
            <v>41.83447675</v>
          </cell>
          <cell r="S501">
            <v>9.8643600000000013</v>
          </cell>
          <cell r="U501">
            <v>8.68</v>
          </cell>
          <cell r="W501">
            <v>2491</v>
          </cell>
        </row>
        <row r="502">
          <cell r="I502" t="str">
            <v/>
          </cell>
        </row>
        <row r="503">
          <cell r="G503" t="str">
            <v>&lt;Select&gt;</v>
          </cell>
          <cell r="I503" t="str">
            <v/>
          </cell>
        </row>
        <row r="504">
          <cell r="G504" t="str">
            <v>Heavy duty macadam with 28mm aggregate base Type BC1 120mm thick in carriageway hardshoulder and hardstrip.</v>
          </cell>
          <cell r="H504" t="str">
            <v>m2</v>
          </cell>
          <cell r="I504">
            <v>12.609342947843752</v>
          </cell>
          <cell r="K504">
            <v>12.681410995618062</v>
          </cell>
          <cell r="M504">
            <v>15</v>
          </cell>
          <cell r="O504">
            <v>23.605799999999999</v>
          </cell>
          <cell r="Q504">
            <v>12.851999999999999</v>
          </cell>
          <cell r="S504">
            <v>1.1088</v>
          </cell>
          <cell r="U504">
            <v>9.6449999999999996</v>
          </cell>
          <cell r="W504">
            <v>280</v>
          </cell>
        </row>
        <row r="505">
          <cell r="G505" t="str">
            <v>Heavy duty macadam with 28mm aggregate base Type BC1 150mm thick in carriageway hardshoulder and hardstrip.</v>
          </cell>
          <cell r="H505" t="str">
            <v>m2</v>
          </cell>
          <cell r="I505">
            <v>16.039769362641163</v>
          </cell>
          <cell r="K505">
            <v>16.150511605946296</v>
          </cell>
          <cell r="M505">
            <v>18.649999999999999</v>
          </cell>
          <cell r="O505">
            <v>29.507249999999999</v>
          </cell>
          <cell r="Q505">
            <v>16.064999999999998</v>
          </cell>
          <cell r="S505">
            <v>1.3860000000000001</v>
          </cell>
          <cell r="U505">
            <v>12.05625</v>
          </cell>
          <cell r="W505">
            <v>350</v>
          </cell>
        </row>
        <row r="506">
          <cell r="G506" t="str">
            <v>Heavy duty macadam with 28mm aggregate base Type BC1 180mm thick in carriageway hardshoulder and hardstrip.</v>
          </cell>
          <cell r="H506" t="str">
            <v>m2</v>
          </cell>
          <cell r="I506">
            <v>18.887573441007127</v>
          </cell>
          <cell r="K506">
            <v>18.995573172512284</v>
          </cell>
          <cell r="M506">
            <v>20</v>
          </cell>
          <cell r="O506">
            <v>32.997450000000001</v>
          </cell>
          <cell r="Q506">
            <v>19.277999999999999</v>
          </cell>
          <cell r="S506">
            <v>1.6632000000000002</v>
          </cell>
          <cell r="U506">
            <v>12.05625</v>
          </cell>
          <cell r="W506">
            <v>420</v>
          </cell>
        </row>
        <row r="507">
          <cell r="G507" t="str">
            <v>Heavy duty macadam with 28mm aggregate base Type BC1 200mm thick in carriageway hardshoulder and hardstrip.</v>
          </cell>
          <cell r="H507" t="str">
            <v>m2</v>
          </cell>
          <cell r="I507">
            <v>20.978984129471122</v>
          </cell>
          <cell r="K507">
            <v>21.098811625369507</v>
          </cell>
          <cell r="M507">
            <v>23.77</v>
          </cell>
          <cell r="O507">
            <v>35.340869999999995</v>
          </cell>
          <cell r="Q507">
            <v>21.435299999999998</v>
          </cell>
          <cell r="S507">
            <v>1.8493200000000001</v>
          </cell>
          <cell r="U507">
            <v>12.05625</v>
          </cell>
          <cell r="W507">
            <v>467</v>
          </cell>
        </row>
        <row r="508">
          <cell r="G508" t="str">
            <v>Heavy duty macadam with 28mm aggregate base Type BC1 230mm thick in carriageway hardshoulder and hardstrip.</v>
          </cell>
          <cell r="H508" t="str">
            <v>m2</v>
          </cell>
          <cell r="I508">
            <v>24.108908438947001</v>
          </cell>
          <cell r="K508">
            <v>24.246145361338087</v>
          </cell>
          <cell r="M508">
            <v>25</v>
          </cell>
          <cell r="O508">
            <v>42.849819999999994</v>
          </cell>
          <cell r="Q508">
            <v>24.648299999999999</v>
          </cell>
          <cell r="S508">
            <v>2.1265200000000002</v>
          </cell>
          <cell r="U508">
            <v>16.074999999999999</v>
          </cell>
          <cell r="W508">
            <v>537</v>
          </cell>
        </row>
        <row r="509">
          <cell r="G509" t="str">
            <v>Heavy duty macadam with 28mm aggregate base Type BC1 250mm thick in carriageway hardshoulder and hardstrip.</v>
          </cell>
          <cell r="H509" t="str">
            <v>m2</v>
          </cell>
          <cell r="I509">
            <v>26.194708464161</v>
          </cell>
          <cell r="K509">
            <v>26.343639690691525</v>
          </cell>
          <cell r="M509">
            <v>28.89</v>
          </cell>
          <cell r="O509">
            <v>45.193240000000003</v>
          </cell>
          <cell r="Q509">
            <v>26.805599999999998</v>
          </cell>
          <cell r="S509">
            <v>2.31264</v>
          </cell>
          <cell r="U509">
            <v>16.074999999999999</v>
          </cell>
          <cell r="W509">
            <v>584</v>
          </cell>
        </row>
        <row r="510">
          <cell r="G510" t="str">
            <v>Heavy duty macadam with 28mm aggregate base Type BC1 150mm thick in emergency crossing.</v>
          </cell>
          <cell r="H510" t="str">
            <v>m2</v>
          </cell>
          <cell r="I510">
            <v>15.986937396359878</v>
          </cell>
          <cell r="K510">
            <v>16.110720979287148</v>
          </cell>
          <cell r="M510">
            <v>20</v>
          </cell>
          <cell r="O510">
            <v>29.507249999999999</v>
          </cell>
          <cell r="Q510">
            <v>16.064999999999998</v>
          </cell>
          <cell r="S510">
            <v>1.3860000000000001</v>
          </cell>
          <cell r="U510">
            <v>12.05625</v>
          </cell>
          <cell r="W510">
            <v>350</v>
          </cell>
        </row>
        <row r="511">
          <cell r="G511" t="str">
            <v>Heavy duty macadam with 20mm aggregate binder course Type BC1 50mm thick in carriageway hardshoulder and hardstrip.</v>
          </cell>
          <cell r="H511" t="str">
            <v>m2</v>
          </cell>
          <cell r="I511">
            <v>5.4925449563033748</v>
          </cell>
          <cell r="K511">
            <v>5.5242769278200754</v>
          </cell>
          <cell r="M511">
            <v>8.58</v>
          </cell>
          <cell r="O511">
            <v>10.805699999999998</v>
          </cell>
          <cell r="Q511">
            <v>5.5079999999999991</v>
          </cell>
          <cell r="S511">
            <v>0.47520000000000001</v>
          </cell>
          <cell r="U511">
            <v>4.8224999999999998</v>
          </cell>
          <cell r="W511">
            <v>120</v>
          </cell>
        </row>
        <row r="512">
          <cell r="G512" t="str">
            <v>Heavy duty macadam with 20mm aggregate binder course Type BC1 60mm thick in carriageway hardshoulder and hardstrip.</v>
          </cell>
          <cell r="H512" t="str">
            <v>m2</v>
          </cell>
          <cell r="I512">
            <v>6.5651889641457508</v>
          </cell>
          <cell r="K512">
            <v>6.600399389205263</v>
          </cell>
          <cell r="M512">
            <v>9</v>
          </cell>
          <cell r="O512">
            <v>11.802899999999999</v>
          </cell>
          <cell r="Q512">
            <v>6.4259999999999993</v>
          </cell>
          <cell r="S512">
            <v>0.5544</v>
          </cell>
          <cell r="U512">
            <v>4.8224999999999998</v>
          </cell>
          <cell r="W512">
            <v>140</v>
          </cell>
        </row>
        <row r="513">
          <cell r="G513" t="str">
            <v>Heavy duty macadam with 20mm aggregate binder course Type BC1 70mm thick in carriageway hardshoulder and hardstrip.</v>
          </cell>
          <cell r="H513" t="str">
            <v>m2</v>
          </cell>
          <cell r="I513">
            <v>7.629753471188125</v>
          </cell>
          <cell r="K513">
            <v>7.6692285497299402</v>
          </cell>
          <cell r="M513">
            <v>10.25</v>
          </cell>
          <cell r="O513">
            <v>13.049399999999999</v>
          </cell>
          <cell r="Q513">
            <v>7.5734999999999992</v>
          </cell>
          <cell r="S513">
            <v>0.65340000000000009</v>
          </cell>
          <cell r="U513">
            <v>4.8224999999999998</v>
          </cell>
          <cell r="W513">
            <v>165</v>
          </cell>
        </row>
        <row r="514">
          <cell r="G514" t="str">
            <v>Heavy duty macadam with 20mm aggregate binder course Type BC1 80mm thick in carriageway hardshoulder and hardstrip.</v>
          </cell>
          <cell r="H514" t="str">
            <v>m2</v>
          </cell>
          <cell r="I514">
            <v>8.9887356518506252</v>
          </cell>
          <cell r="K514">
            <v>9.0815643291950074</v>
          </cell>
          <cell r="M514">
            <v>11.27</v>
          </cell>
          <cell r="O514">
            <v>14.2959</v>
          </cell>
          <cell r="Q514">
            <v>8.7210000000000001</v>
          </cell>
          <cell r="S514">
            <v>0.75240000000000007</v>
          </cell>
          <cell r="U514">
            <v>4.8224999999999998</v>
          </cell>
          <cell r="W514">
            <v>190</v>
          </cell>
        </row>
        <row r="515">
          <cell r="G515" t="str">
            <v>Heavy duty macadam with 20mm aggregate binder course Type BC1 70mm thick in emergency crossing.</v>
          </cell>
          <cell r="H515" t="str">
            <v>m2</v>
          </cell>
          <cell r="I515">
            <v>8.0157572771881238</v>
          </cell>
          <cell r="K515">
            <v>8.1103474231708379</v>
          </cell>
          <cell r="M515">
            <v>10.25</v>
          </cell>
          <cell r="O515">
            <v>13.049399999999999</v>
          </cell>
          <cell r="Q515">
            <v>7.5734999999999992</v>
          </cell>
          <cell r="S515">
            <v>0.65340000000000009</v>
          </cell>
          <cell r="U515">
            <v>4.8224999999999998</v>
          </cell>
          <cell r="W515">
            <v>165</v>
          </cell>
        </row>
        <row r="516">
          <cell r="G516" t="str">
            <v>Thin surface course system to Clause 942 Type WC1 20mm thick in carriageway hardshoulder and hardstrip.</v>
          </cell>
          <cell r="H516" t="str">
            <v>m2</v>
          </cell>
          <cell r="I516">
            <v>4.1040295997074994</v>
          </cell>
          <cell r="K516">
            <v>4.1750390859406767</v>
          </cell>
          <cell r="M516">
            <v>7.15</v>
          </cell>
          <cell r="O516">
            <v>5.0649999999999995</v>
          </cell>
          <cell r="Q516">
            <v>2.2949999999999999</v>
          </cell>
          <cell r="S516">
            <v>0.19800000000000001</v>
          </cell>
          <cell r="U516">
            <v>2.5720000000000001</v>
          </cell>
          <cell r="W516">
            <v>50</v>
          </cell>
        </row>
        <row r="517">
          <cell r="G517" t="str">
            <v>Thin surface course system to Clause 942 Type WC2 20mm thick in carriageway hardshoulder and hardstrip.</v>
          </cell>
          <cell r="H517" t="str">
            <v>m2</v>
          </cell>
          <cell r="I517">
            <v>4.1574081163993748</v>
          </cell>
          <cell r="K517">
            <v>4.1703221449660735</v>
          </cell>
          <cell r="M517">
            <v>7.15</v>
          </cell>
          <cell r="O517">
            <v>5.0649999999999995</v>
          </cell>
          <cell r="Q517">
            <v>2.2949999999999999</v>
          </cell>
          <cell r="S517">
            <v>0.19800000000000001</v>
          </cell>
          <cell r="U517">
            <v>2.5720000000000001</v>
          </cell>
          <cell r="W517">
            <v>50</v>
          </cell>
        </row>
        <row r="518">
          <cell r="G518" t="str">
            <v>Thin surface course system to Clause 942 Type WC1 25mm thick in carriageway hardshoulder and hardstrip.</v>
          </cell>
          <cell r="H518" t="str">
            <v>m2</v>
          </cell>
          <cell r="I518">
            <v>4.9293507027992511</v>
          </cell>
          <cell r="K518">
            <v>5.0100838856865009</v>
          </cell>
          <cell r="M518">
            <v>7.7</v>
          </cell>
          <cell r="O518">
            <v>5.5635999999999992</v>
          </cell>
          <cell r="Q518">
            <v>2.7539999999999996</v>
          </cell>
          <cell r="S518">
            <v>0.23760000000000001</v>
          </cell>
          <cell r="U518">
            <v>2.5720000000000001</v>
          </cell>
          <cell r="W518">
            <v>60</v>
          </cell>
        </row>
        <row r="519">
          <cell r="G519" t="str">
            <v>Thin surface course system to Clause 942 Type WC2 25mm thick in carriageway hardshoulder and hardstrip.</v>
          </cell>
          <cell r="H519" t="str">
            <v>m2</v>
          </cell>
          <cell r="I519">
            <v>4.9481630771892497</v>
          </cell>
          <cell r="K519">
            <v>4.962948676180778</v>
          </cell>
          <cell r="M519">
            <v>7.7</v>
          </cell>
          <cell r="O519">
            <v>5.5635999999999992</v>
          </cell>
          <cell r="Q519">
            <v>2.7539999999999996</v>
          </cell>
          <cell r="S519">
            <v>0.23760000000000001</v>
          </cell>
          <cell r="U519">
            <v>2.5720000000000001</v>
          </cell>
          <cell r="W519">
            <v>60</v>
          </cell>
        </row>
        <row r="520">
          <cell r="G520" t="str">
            <v>Thin surface course system to Clause 942 Type WC1 35mm thick in carriageway hardshoulder and hardstrip.</v>
          </cell>
          <cell r="H520" t="str">
            <v>m2</v>
          </cell>
          <cell r="I520">
            <v>6.4357280521038742</v>
          </cell>
          <cell r="K520">
            <v>6.5069174050469138</v>
          </cell>
          <cell r="M520">
            <v>8.8000000000000007</v>
          </cell>
          <cell r="O520">
            <v>6.5608000000000004</v>
          </cell>
          <cell r="Q520">
            <v>3.6719999999999997</v>
          </cell>
          <cell r="S520">
            <v>0.31680000000000003</v>
          </cell>
          <cell r="U520">
            <v>2.5720000000000001</v>
          </cell>
          <cell r="W520">
            <v>80</v>
          </cell>
        </row>
        <row r="521">
          <cell r="G521" t="str">
            <v>Thin surface course system to Clause 942 Type WC2 35mm thick in carriageway hardshoulder and hardstrip.</v>
          </cell>
          <cell r="H521" t="str">
            <v>m2</v>
          </cell>
          <cell r="I521">
            <v>6.4311327506096241</v>
          </cell>
          <cell r="K521">
            <v>6.455165144679782</v>
          </cell>
          <cell r="M521">
            <v>8.8000000000000007</v>
          </cell>
          <cell r="O521">
            <v>6.5608000000000004</v>
          </cell>
          <cell r="Q521">
            <v>3.6719999999999997</v>
          </cell>
          <cell r="S521">
            <v>0.31680000000000003</v>
          </cell>
          <cell r="U521">
            <v>2.5720000000000001</v>
          </cell>
          <cell r="W521">
            <v>80</v>
          </cell>
        </row>
        <row r="522">
          <cell r="G522" t="str">
            <v>Thin surface course system to Clause 942 Type WC1 40mm thick in carriageway hardshoulder and hardstrip.</v>
          </cell>
          <cell r="H522" t="str">
            <v>m2</v>
          </cell>
          <cell r="I522">
            <v>7.3424440834481244</v>
          </cell>
          <cell r="K522">
            <v>7.4349423020238659</v>
          </cell>
          <cell r="M522">
            <v>9.9</v>
          </cell>
          <cell r="O522">
            <v>8.5946999999999996</v>
          </cell>
          <cell r="Q522">
            <v>4.3605</v>
          </cell>
          <cell r="S522">
            <v>0.37620000000000003</v>
          </cell>
          <cell r="U522">
            <v>3.8580000000000001</v>
          </cell>
          <cell r="W522">
            <v>95</v>
          </cell>
        </row>
        <row r="523">
          <cell r="G523" t="str">
            <v>Thin surface course system to Clause 942 Type WC2 40mm thick in carriageway hardshoulder and hardstrip.</v>
          </cell>
          <cell r="H523" t="str">
            <v>m2</v>
          </cell>
          <cell r="I523">
            <v>7.3039571604293743</v>
          </cell>
          <cell r="K523">
            <v>7.3317369575122724</v>
          </cell>
          <cell r="M523">
            <v>9.9</v>
          </cell>
          <cell r="O523">
            <v>8.5946999999999996</v>
          </cell>
          <cell r="Q523">
            <v>4.3605</v>
          </cell>
          <cell r="S523">
            <v>0.37620000000000003</v>
          </cell>
          <cell r="U523">
            <v>3.8580000000000001</v>
          </cell>
          <cell r="W523">
            <v>95</v>
          </cell>
        </row>
        <row r="524">
          <cell r="G524" t="str">
            <v>Thin surface course system to Clause 942 Type WC3 50mm thick in carriageway hardshoulder and hardstrip.</v>
          </cell>
          <cell r="H524" t="str">
            <v>m2</v>
          </cell>
          <cell r="I524">
            <v>8.8673180239248754</v>
          </cell>
          <cell r="K524">
            <v>8.912132591858791</v>
          </cell>
          <cell r="M524">
            <v>10.5</v>
          </cell>
          <cell r="O524">
            <v>9.8411999999999988</v>
          </cell>
          <cell r="Q524">
            <v>5.5079999999999991</v>
          </cell>
          <cell r="S524">
            <v>0.47520000000000001</v>
          </cell>
          <cell r="U524">
            <v>3.8580000000000001</v>
          </cell>
          <cell r="W524">
            <v>120</v>
          </cell>
        </row>
        <row r="525">
          <cell r="G525" t="str">
            <v>Thin surface course system to Clause 942 Type WC4 50mm thick in carriageway hardshoulder and hardstrip.</v>
          </cell>
          <cell r="H525" t="str">
            <v>m2</v>
          </cell>
          <cell r="I525">
            <v>10.298400401547124</v>
          </cell>
          <cell r="K525">
            <v>10.5</v>
          </cell>
          <cell r="M525">
            <v>10.5</v>
          </cell>
          <cell r="O525">
            <v>9.8411999999999988</v>
          </cell>
          <cell r="Q525">
            <v>5.5079999999999991</v>
          </cell>
          <cell r="S525">
            <v>0.47520000000000001</v>
          </cell>
          <cell r="U525">
            <v>3.8580000000000001</v>
          </cell>
          <cell r="W525">
            <v>120</v>
          </cell>
        </row>
        <row r="526">
          <cell r="G526" t="str">
            <v>Thin surface course system to Clause 942 Type WC2 40mm thick in emergency crossing.</v>
          </cell>
          <cell r="H526" t="str">
            <v>m2</v>
          </cell>
          <cell r="I526">
            <v>7.6139099909293746</v>
          </cell>
          <cell r="K526">
            <v>7.6717790247435227</v>
          </cell>
          <cell r="M526">
            <v>9.9</v>
          </cell>
          <cell r="O526">
            <v>8.5946999999999996</v>
          </cell>
          <cell r="Q526">
            <v>4.3605</v>
          </cell>
          <cell r="S526">
            <v>0.37620000000000003</v>
          </cell>
          <cell r="U526">
            <v>3.8580000000000001</v>
          </cell>
          <cell r="W526">
            <v>95</v>
          </cell>
        </row>
        <row r="527">
          <cell r="I527" t="str">
            <v/>
          </cell>
        </row>
        <row r="528">
          <cell r="G528" t="str">
            <v>&lt;Select&gt;</v>
          </cell>
          <cell r="I528" t="str">
            <v/>
          </cell>
        </row>
        <row r="529">
          <cell r="G529" t="str">
            <v>Stone mastic asphalt with 6mm aggregate basecourse regulating course.</v>
          </cell>
          <cell r="H529" t="str">
            <v>t</v>
          </cell>
          <cell r="I529">
            <v>91.069746119905375</v>
          </cell>
          <cell r="K529">
            <v>93.098532788824571</v>
          </cell>
          <cell r="M529">
            <v>150</v>
          </cell>
          <cell r="O529">
            <v>53.717999999999996</v>
          </cell>
          <cell r="Q529">
            <v>45.9</v>
          </cell>
          <cell r="S529">
            <v>3.9600000000000004</v>
          </cell>
          <cell r="U529">
            <v>3.8580000000000001</v>
          </cell>
          <cell r="W529">
            <v>1000</v>
          </cell>
        </row>
        <row r="530">
          <cell r="I530" t="str">
            <v/>
          </cell>
        </row>
        <row r="531">
          <cell r="G531" t="str">
            <v>&lt;Select&gt;</v>
          </cell>
          <cell r="I531" t="str">
            <v/>
          </cell>
        </row>
        <row r="532">
          <cell r="G532" t="str">
            <v>Resin based surface treatment Type HFS1 red in colour</v>
          </cell>
          <cell r="H532" t="str">
            <v>m2</v>
          </cell>
          <cell r="I532">
            <v>8.5905318241709381</v>
          </cell>
          <cell r="K532">
            <v>8.6123208197380219</v>
          </cell>
          <cell r="O532">
            <v>3.8580000000000001</v>
          </cell>
          <cell r="Q532">
            <v>0</v>
          </cell>
          <cell r="S532">
            <v>0</v>
          </cell>
          <cell r="U532">
            <v>3.8580000000000001</v>
          </cell>
          <cell r="W532">
            <v>0</v>
          </cell>
        </row>
        <row r="533">
          <cell r="G533" t="str">
            <v>Resin based surface treatment Type HFS1 green in colour</v>
          </cell>
          <cell r="H533" t="str">
            <v>m2</v>
          </cell>
          <cell r="I533">
            <v>8.4625905741709389</v>
          </cell>
          <cell r="K533">
            <v>8.4755894043116839</v>
          </cell>
          <cell r="O533">
            <v>3.8580000000000001</v>
          </cell>
          <cell r="Q533">
            <v>0</v>
          </cell>
          <cell r="S533">
            <v>0</v>
          </cell>
          <cell r="U533">
            <v>3.8580000000000001</v>
          </cell>
          <cell r="W533">
            <v>0</v>
          </cell>
        </row>
        <row r="534">
          <cell r="G534" t="str">
            <v>Resin based surface treatment Type HFS1 buff in colour</v>
          </cell>
          <cell r="H534" t="str">
            <v>m2</v>
          </cell>
          <cell r="I534">
            <v>8.4558405741709386</v>
          </cell>
          <cell r="K534">
            <v>8.4688132728547334</v>
          </cell>
          <cell r="O534">
            <v>3.8580000000000001</v>
          </cell>
          <cell r="Q534">
            <v>0</v>
          </cell>
          <cell r="S534">
            <v>0</v>
          </cell>
          <cell r="U534">
            <v>3.8580000000000001</v>
          </cell>
          <cell r="W534">
            <v>0</v>
          </cell>
        </row>
        <row r="535">
          <cell r="I535" t="str">
            <v/>
          </cell>
        </row>
        <row r="536">
          <cell r="G536" t="str">
            <v>&lt;Select&gt;</v>
          </cell>
          <cell r="I536" t="str">
            <v/>
          </cell>
        </row>
        <row r="537">
          <cell r="G537" t="str">
            <v>Tack coat Type A</v>
          </cell>
          <cell r="H537" t="str">
            <v>m2</v>
          </cell>
          <cell r="I537">
            <v>0.174611029340625</v>
          </cell>
          <cell r="K537">
            <v>0.195704546094982</v>
          </cell>
          <cell r="M537">
            <v>0.69</v>
          </cell>
        </row>
        <row r="538">
          <cell r="I538" t="str">
            <v/>
          </cell>
        </row>
        <row r="539">
          <cell r="G539" t="str">
            <v>&lt;Select&gt;</v>
          </cell>
          <cell r="I539" t="str">
            <v/>
          </cell>
        </row>
        <row r="540">
          <cell r="G540" t="str">
            <v>Milling pavement 20mm deep.</v>
          </cell>
          <cell r="H540" t="str">
            <v>m2</v>
          </cell>
          <cell r="I540">
            <v>0.81764675132218756</v>
          </cell>
          <cell r="K540">
            <v>0.93054659631744452</v>
          </cell>
        </row>
        <row r="541">
          <cell r="G541" t="str">
            <v>Milling pavement 50mm deep.</v>
          </cell>
          <cell r="H541" t="str">
            <v>m2</v>
          </cell>
          <cell r="I541">
            <v>1.1661131971653125</v>
          </cell>
          <cell r="K541">
            <v>1.4085355327552118</v>
          </cell>
        </row>
        <row r="542">
          <cell r="G542" t="str">
            <v>Milling pavement 70mm deep.</v>
          </cell>
          <cell r="H542" t="str">
            <v>m2</v>
          </cell>
          <cell r="I542">
            <v>1.6229856247184373</v>
          </cell>
          <cell r="K542">
            <v>1.9382383739435918</v>
          </cell>
        </row>
        <row r="543">
          <cell r="G543" t="str">
            <v>Milling pavement 100mm deep.</v>
          </cell>
          <cell r="H543" t="str">
            <v>m2</v>
          </cell>
          <cell r="I543">
            <v>2.35747962699</v>
          </cell>
          <cell r="K543">
            <v>3.1303031288825935</v>
          </cell>
        </row>
        <row r="544">
          <cell r="G544" t="str">
            <v>Milling pavement 140mm deep.</v>
          </cell>
          <cell r="H544" t="str">
            <v>m2</v>
          </cell>
          <cell r="I544">
            <v>3.0440514688759377</v>
          </cell>
          <cell r="K544">
            <v>4.0508983941785077</v>
          </cell>
        </row>
        <row r="545">
          <cell r="G545" t="str">
            <v>Milling pavement 180mm deep.</v>
          </cell>
          <cell r="H545" t="str">
            <v>m2</v>
          </cell>
          <cell r="I545">
            <v>3.774799080963438</v>
          </cell>
          <cell r="K545">
            <v>4.9825289955602745</v>
          </cell>
        </row>
        <row r="546">
          <cell r="G546" t="str">
            <v>Milling pavement 220mm deep.</v>
          </cell>
          <cell r="H546" t="str">
            <v>m2</v>
          </cell>
          <cell r="I546">
            <v>4.8448577224696869</v>
          </cell>
          <cell r="K546">
            <v>6.7179716413729933</v>
          </cell>
        </row>
        <row r="547">
          <cell r="G547" t="str">
            <v>Milling pavement 280mm deep.</v>
          </cell>
          <cell r="H547" t="str">
            <v>m2</v>
          </cell>
          <cell r="I547">
            <v>5.8522211968315627</v>
          </cell>
          <cell r="K547">
            <v>7.9211955491033157</v>
          </cell>
        </row>
        <row r="548">
          <cell r="G548" t="str">
            <v>Milling pavement 350mm deep.</v>
          </cell>
          <cell r="H548" t="str">
            <v>m2</v>
          </cell>
          <cell r="I548">
            <v>7.3591760158909372</v>
          </cell>
          <cell r="K548">
            <v>9.9170335389669066</v>
          </cell>
        </row>
        <row r="549">
          <cell r="I549" t="str">
            <v/>
          </cell>
        </row>
        <row r="550">
          <cell r="G550" t="str">
            <v>&lt;Select&gt;</v>
          </cell>
          <cell r="I550" t="str">
            <v/>
          </cell>
        </row>
        <row r="551">
          <cell r="G551" t="str">
            <v>Removal of existing bituminous overlay thickness not exceeding 50mm on Rc slabs</v>
          </cell>
          <cell r="H551" t="str">
            <v>m2</v>
          </cell>
          <cell r="I551">
            <v>1.2610330274959374</v>
          </cell>
          <cell r="K551">
            <v>1.5333768553057587</v>
          </cell>
        </row>
        <row r="552">
          <cell r="G552" t="str">
            <v>Removal of existing bituminous overlay thickness exceeding 150mm but not exceeding 200mm on rc slabs</v>
          </cell>
          <cell r="H552" t="str">
            <v>m2</v>
          </cell>
          <cell r="I552">
            <v>3.7042895088550001</v>
          </cell>
          <cell r="K552">
            <v>4.2338641311354284</v>
          </cell>
        </row>
        <row r="553">
          <cell r="G553" t="str">
            <v>Main Trial - Rc slabs</v>
          </cell>
          <cell r="H553" t="str">
            <v>Item</v>
          </cell>
          <cell r="I553">
            <v>4109.4914659984561</v>
          </cell>
          <cell r="K553">
            <v>4222.7720885039735</v>
          </cell>
        </row>
        <row r="554">
          <cell r="G554" t="str">
            <v>Re-assessment Trial  - Rc slabs</v>
          </cell>
          <cell r="H554" t="str">
            <v>No.</v>
          </cell>
          <cell r="I554">
            <v>1166.5191624928123</v>
          </cell>
          <cell r="K554">
            <v>1682.8585965593757</v>
          </cell>
        </row>
        <row r="555">
          <cell r="G555" t="str">
            <v>Saw-cutting existing pavement, saw cuts exceeding 50mm but not exceeding 70mm</v>
          </cell>
          <cell r="H555" t="str">
            <v>m2</v>
          </cell>
          <cell r="I555">
            <v>4.3534419468750007</v>
          </cell>
          <cell r="K555">
            <v>6.8262097671905311</v>
          </cell>
        </row>
        <row r="556">
          <cell r="G556" t="str">
            <v>Saw-cutting existing pavement, saw cuts exceeding 110mm but not exceeding 130mm</v>
          </cell>
          <cell r="H556" t="str">
            <v>m2</v>
          </cell>
          <cell r="I556">
            <v>5.9289426968749996</v>
          </cell>
          <cell r="K556">
            <v>7.5530868612245978</v>
          </cell>
        </row>
        <row r="557">
          <cell r="G557" t="str">
            <v>Cracking existing pavement thickness exceeding 100mm but not exceeding 150mm, transverse cracks exceeding 1.00 metre but not exceeding 2.00 metres centres</v>
          </cell>
          <cell r="H557" t="str">
            <v>m2</v>
          </cell>
          <cell r="I557">
            <v>1115.9051686484572</v>
          </cell>
          <cell r="K557">
            <v>3154.2731589059404</v>
          </cell>
        </row>
        <row r="558">
          <cell r="G558" t="str">
            <v>Cracking existing pavement thickness exceeding 150mm but not exceeding 200mm, transverse cracks exceeding 2.00 metres but not exceeding 3.00 metres centres</v>
          </cell>
          <cell r="H558" t="str">
            <v>m2</v>
          </cell>
          <cell r="I558">
            <v>0.8011678770507501</v>
          </cell>
          <cell r="K558">
            <v>0.80707937178014688</v>
          </cell>
        </row>
        <row r="559">
          <cell r="G559" t="str">
            <v>Cracking existing pavement thickness exceeding 200mm but not exceeding 250mm, transverse cracks exceeding 3.00 metres but not exceeding 4.00 metres centres</v>
          </cell>
          <cell r="H559" t="str">
            <v>m2</v>
          </cell>
          <cell r="I559">
            <v>0.8011678770507501</v>
          </cell>
          <cell r="K559">
            <v>0.80707937178014688</v>
          </cell>
        </row>
        <row r="560">
          <cell r="G560" t="str">
            <v>Cracking existing pavement thickness exceeding 250mm but not exceeding 300mm, transverse cracks exceeding 4.00 metres but not exceeding 6.00 metres centres</v>
          </cell>
          <cell r="H560" t="str">
            <v>m2</v>
          </cell>
          <cell r="I560">
            <v>0.8011678770507501</v>
          </cell>
          <cell r="K560">
            <v>0.80707937178014688</v>
          </cell>
        </row>
        <row r="561">
          <cell r="G561" t="str">
            <v>Seating existing pavement thickness exceeding 100mm but not exceeding 150mm</v>
          </cell>
          <cell r="H561" t="str">
            <v>m2</v>
          </cell>
          <cell r="I561">
            <v>0.15450523508500003</v>
          </cell>
          <cell r="K561">
            <v>0.15511562828186692</v>
          </cell>
        </row>
        <row r="562">
          <cell r="G562" t="str">
            <v>Seating existing pavement thickness exceeding 150mm but not exceeding 200mm</v>
          </cell>
          <cell r="H562" t="str">
            <v>m2</v>
          </cell>
          <cell r="I562">
            <v>0.15450523508500003</v>
          </cell>
          <cell r="K562">
            <v>0.15511562828186692</v>
          </cell>
        </row>
        <row r="563">
          <cell r="G563" t="str">
            <v>Seating existing pavement thickness exceeding 200mm but not exceeding 250mm</v>
          </cell>
          <cell r="H563" t="str">
            <v>m2</v>
          </cell>
          <cell r="I563">
            <v>0.15050986321000001</v>
          </cell>
          <cell r="K563">
            <v>0.15132764016843436</v>
          </cell>
        </row>
        <row r="564">
          <cell r="G564" t="str">
            <v>Seating existing pavement thickness exceeding 250mm but not exceeding 300mm</v>
          </cell>
          <cell r="H564" t="str">
            <v>m2</v>
          </cell>
          <cell r="I564">
            <v>0.15450523508500003</v>
          </cell>
          <cell r="K564">
            <v>0.15511562828186692</v>
          </cell>
        </row>
        <row r="565">
          <cell r="I565" t="str">
            <v/>
          </cell>
        </row>
        <row r="566">
          <cell r="G566" t="str">
            <v>&lt;Select&gt;</v>
          </cell>
          <cell r="I566" t="str">
            <v/>
          </cell>
        </row>
        <row r="567">
          <cell r="G567" t="str">
            <v>Removal of existing bituminous overlay thickness not exceeding 50mm</v>
          </cell>
          <cell r="H567" t="str">
            <v>m2</v>
          </cell>
          <cell r="I567">
            <v>1.0348148128571877</v>
          </cell>
          <cell r="K567">
            <v>1.3098552760166042</v>
          </cell>
        </row>
        <row r="568">
          <cell r="G568" t="str">
            <v>Removal of existing bituminous overlay thickness exceeding 150mm but not exceeding 200mm</v>
          </cell>
          <cell r="H568" t="str">
            <v>m2</v>
          </cell>
          <cell r="I568">
            <v>3.2437204408756246</v>
          </cell>
          <cell r="K568">
            <v>3.9160428476217866</v>
          </cell>
        </row>
        <row r="569">
          <cell r="G569" t="str">
            <v>Main Trial</v>
          </cell>
          <cell r="H569" t="str">
            <v>Item</v>
          </cell>
          <cell r="I569">
            <v>4109.4914659984561</v>
          </cell>
          <cell r="K569">
            <v>4222.7720885039735</v>
          </cell>
        </row>
        <row r="570">
          <cell r="G570" t="str">
            <v xml:space="preserve">Re-assessment Trial </v>
          </cell>
          <cell r="H570" t="str">
            <v>No.</v>
          </cell>
          <cell r="I570">
            <v>1166.5191624928123</v>
          </cell>
          <cell r="K570">
            <v>1682.8585965593757</v>
          </cell>
        </row>
        <row r="571">
          <cell r="G571" t="str">
            <v>Cracking jointed unreinforced concrete pavement thickness exceeding 100mm but not exceeding 150mm, transverse cracks exceeding 1.00 metre but not exceeding 2.00 metres centres</v>
          </cell>
          <cell r="H571" t="str">
            <v>m2</v>
          </cell>
          <cell r="I571">
            <v>0.80252778159175009</v>
          </cell>
          <cell r="K571">
            <v>0.80857294257103596</v>
          </cell>
        </row>
        <row r="572">
          <cell r="G572" t="str">
            <v>Cracking jointed unreinforced concrete pavement thickness exceeding 100mm but not exceeding 150mm, transverse cracks exceeding 4.00 metres but not exceeding 6.00 metres centres</v>
          </cell>
          <cell r="H572" t="str">
            <v>m2</v>
          </cell>
          <cell r="I572">
            <v>0.80252778159175009</v>
          </cell>
          <cell r="K572">
            <v>0.80857294257103596</v>
          </cell>
        </row>
        <row r="573">
          <cell r="G573" t="str">
            <v>Cracking jointed unreinforced concrete pavement thickness exceeding 150mm but not exceeding 200mm, transverse cracks exceeding 2.00 metres but not exceeding 3.00 metres centres</v>
          </cell>
          <cell r="H573" t="str">
            <v>m2</v>
          </cell>
          <cell r="I573">
            <v>0.80252778159175009</v>
          </cell>
          <cell r="K573">
            <v>0.80857294257103596</v>
          </cell>
        </row>
        <row r="574">
          <cell r="G574" t="str">
            <v>Cracking jointed unreinforced concrete pavement thickness exceeding 200mm but not exceeding 250mm, transverse cracks exceeding 3.00 metres but not exceeding 4.00 metres centres</v>
          </cell>
          <cell r="H574" t="str">
            <v>m2</v>
          </cell>
          <cell r="I574">
            <v>0.80252778159175009</v>
          </cell>
          <cell r="K574">
            <v>0.80857294257103596</v>
          </cell>
        </row>
        <row r="575">
          <cell r="G575" t="str">
            <v>Cracking jointed unreinforced concrete pavement thickness exceeding 250mm but not exceeding 300mm, transverse cracks exceeding 4.00 metres but not exceeding 6.00 metres centres</v>
          </cell>
          <cell r="H575" t="str">
            <v>m2</v>
          </cell>
          <cell r="I575">
            <v>0.80252778159175009</v>
          </cell>
          <cell r="K575">
            <v>0.80857294257103596</v>
          </cell>
        </row>
        <row r="576">
          <cell r="G576" t="str">
            <v>Seating jointed unreinforced concrete pavement thickness exceeding 100mm but not exceeding 150mm</v>
          </cell>
          <cell r="H576" t="str">
            <v>m2</v>
          </cell>
          <cell r="I576">
            <v>210.92597493835072</v>
          </cell>
          <cell r="K576">
            <v>596.19838232392726</v>
          </cell>
        </row>
        <row r="577">
          <cell r="G577" t="str">
            <v>Seating jointed unreinforced concrete pavement thickness exceeding 150mm but not exceeding 200mm</v>
          </cell>
          <cell r="H577" t="str">
            <v>m2</v>
          </cell>
          <cell r="I577">
            <v>0.15450842348124999</v>
          </cell>
          <cell r="K577">
            <v>0.15511934679742723</v>
          </cell>
        </row>
        <row r="578">
          <cell r="G578" t="str">
            <v>Seating jointed unreinforced concrete pavement thickness exceeding 200mm but not exceeding 250mm</v>
          </cell>
          <cell r="H578" t="str">
            <v>m2</v>
          </cell>
          <cell r="I578">
            <v>0.15450842348124999</v>
          </cell>
          <cell r="K578">
            <v>0.15511934679742723</v>
          </cell>
        </row>
        <row r="579">
          <cell r="G579" t="str">
            <v>Seating jointed unreinforced concrete pavement thickness exceeding 250mm but not exceeding 300mm</v>
          </cell>
          <cell r="H579" t="str">
            <v>m2</v>
          </cell>
          <cell r="I579">
            <v>0.15450842348124999</v>
          </cell>
          <cell r="K579">
            <v>0.15511934679742723</v>
          </cell>
        </row>
        <row r="580">
          <cell r="G580" t="str">
            <v>Cracking CBM roadbase thickness exceeding 100mm but not exceeding 150mm, transverse cracks exceeding 1.00 metre but not exceeding 2.00 metres centres</v>
          </cell>
          <cell r="H580" t="str">
            <v>m2</v>
          </cell>
          <cell r="I580">
            <v>0.80252778159175009</v>
          </cell>
          <cell r="K580">
            <v>0.80857294257103596</v>
          </cell>
        </row>
        <row r="581">
          <cell r="G581" t="str">
            <v>Cracking CBM roadbase thickness exceeding 150mm but not exceeding 200mm, transverse cracks exceeding 2.00 metres but not exceeding 3.00 metres centres</v>
          </cell>
          <cell r="H581" t="str">
            <v>m2</v>
          </cell>
          <cell r="I581">
            <v>0.80252778159175009</v>
          </cell>
          <cell r="K581">
            <v>0.80857294257103596</v>
          </cell>
        </row>
        <row r="582">
          <cell r="G582" t="str">
            <v>Cracking CBM roadbase thickness exceeding 200mm but not exceeding 250mm, transverse cracks exceeding 3.00 metres but not exceeding 4.00 metres centres</v>
          </cell>
          <cell r="H582" t="str">
            <v>m2</v>
          </cell>
          <cell r="I582">
            <v>0.80252778159175009</v>
          </cell>
          <cell r="K582">
            <v>0.80857294257103596</v>
          </cell>
        </row>
        <row r="583">
          <cell r="G583" t="str">
            <v>Cracking CBM roadbase thickness exceeding 250mm but not exceeding 300mm, transverse cracks exceeding 4.00 metres but not exceeding 6.00 metres centres</v>
          </cell>
          <cell r="H583" t="str">
            <v>m2</v>
          </cell>
          <cell r="I583">
            <v>0.80252778159175009</v>
          </cell>
          <cell r="K583">
            <v>0.80857294257103596</v>
          </cell>
        </row>
        <row r="584">
          <cell r="G584" t="str">
            <v>Seating CBM roadbase thickness exceeding 100mm but not exceeding 150mm</v>
          </cell>
          <cell r="H584" t="str">
            <v>m2</v>
          </cell>
          <cell r="I584">
            <v>0.15450842348124999</v>
          </cell>
          <cell r="K584">
            <v>0.15511934679742723</v>
          </cell>
        </row>
        <row r="585">
          <cell r="G585" t="str">
            <v>Seating CBM roadbase thickness exceeding 150mm but not exceeding 200mm</v>
          </cell>
          <cell r="H585" t="str">
            <v>m2</v>
          </cell>
          <cell r="I585">
            <v>0.15450842348124999</v>
          </cell>
          <cell r="K585">
            <v>0.15511934679742723</v>
          </cell>
        </row>
        <row r="586">
          <cell r="G586" t="str">
            <v>Seating CBM roadbase thickness exceeding 200mm but not exceeding 250mm</v>
          </cell>
          <cell r="H586" t="str">
            <v>m2</v>
          </cell>
          <cell r="I586">
            <v>0.15450842348124999</v>
          </cell>
          <cell r="K586">
            <v>0.15511934679742723</v>
          </cell>
        </row>
        <row r="587">
          <cell r="G587" t="str">
            <v>Seating CBM roadbase thickness exceeding 250mm but not exceeding 300mm</v>
          </cell>
          <cell r="H587" t="str">
            <v>m2</v>
          </cell>
          <cell r="I587">
            <v>0.15450842348124999</v>
          </cell>
          <cell r="K587">
            <v>0.15511934679742723</v>
          </cell>
        </row>
        <row r="588">
          <cell r="I588" t="str">
            <v/>
          </cell>
        </row>
        <row r="589">
          <cell r="G589" t="str">
            <v>&lt;Select&gt;</v>
          </cell>
          <cell r="I589" t="str">
            <v/>
          </cell>
        </row>
        <row r="590">
          <cell r="G590" t="str">
            <v>Simple overbanding repair system with Grade F Classification</v>
          </cell>
          <cell r="H590" t="str">
            <v>m</v>
          </cell>
          <cell r="I590">
            <v>1.466622847593875</v>
          </cell>
          <cell r="K590">
            <v>1.5643126575990516</v>
          </cell>
        </row>
        <row r="591">
          <cell r="G591" t="str">
            <v>Simple overbanding repair system with Grade H Classification</v>
          </cell>
          <cell r="H591" t="str">
            <v>m</v>
          </cell>
          <cell r="I591">
            <v>1.8470890393281247</v>
          </cell>
          <cell r="K591">
            <v>2.0191215445812638</v>
          </cell>
        </row>
        <row r="592">
          <cell r="G592" t="str">
            <v>Fill and overbanding repair system for crack exceeding 5mm but not exceeding 10mm wide with Grade F Classification</v>
          </cell>
          <cell r="H592" t="str">
            <v>m</v>
          </cell>
          <cell r="I592">
            <v>2.1738056577800751</v>
          </cell>
          <cell r="K592">
            <v>2.3747757116571524</v>
          </cell>
        </row>
        <row r="593">
          <cell r="G593" t="str">
            <v>Fill and overbanding repair system for crack exceeding 10mm but not exceeding 15mm wide with Grade F Classification</v>
          </cell>
          <cell r="H593" t="str">
            <v>m</v>
          </cell>
          <cell r="I593">
            <v>2.5403266856267499</v>
          </cell>
          <cell r="K593">
            <v>2.8267526384145327</v>
          </cell>
        </row>
        <row r="594">
          <cell r="G594" t="str">
            <v>Fill and overbanding repair system for crack exceeding 10mm but not exceeding 15mm wide with Grade H Classification</v>
          </cell>
          <cell r="H594" t="str">
            <v>m</v>
          </cell>
          <cell r="I594">
            <v>2.940937250859375</v>
          </cell>
          <cell r="K594">
            <v>3.3402238925391492</v>
          </cell>
        </row>
        <row r="595">
          <cell r="I595" t="str">
            <v/>
          </cell>
        </row>
        <row r="596">
          <cell r="I596" t="str">
            <v/>
          </cell>
        </row>
        <row r="597">
          <cell r="I597" t="str">
            <v/>
          </cell>
        </row>
        <row r="598">
          <cell r="G598" t="str">
            <v>&lt;Select&gt;</v>
          </cell>
          <cell r="I598" t="str">
            <v/>
          </cell>
        </row>
        <row r="599">
          <cell r="I599" t="str">
            <v/>
          </cell>
        </row>
        <row r="600">
          <cell r="G600" t="str">
            <v>&lt;Select&gt;</v>
          </cell>
          <cell r="I600" t="str">
            <v/>
          </cell>
        </row>
        <row r="601">
          <cell r="G601" t="str">
            <v>Precast concrete kerb, Type SP, laid straight or curved exceeding 12 metres radius</v>
          </cell>
          <cell r="H601" t="str">
            <v>m</v>
          </cell>
          <cell r="I601">
            <v>17.760103751612501</v>
          </cell>
          <cell r="K601">
            <v>17.853206497205448</v>
          </cell>
          <cell r="M601">
            <v>14.95</v>
          </cell>
        </row>
        <row r="602">
          <cell r="G602" t="str">
            <v>Precast concrete kerb, Type SP, laid to curves not exceeding 12 metres radius</v>
          </cell>
          <cell r="H602" t="str">
            <v>m</v>
          </cell>
          <cell r="I602">
            <v>21.95136318702</v>
          </cell>
          <cell r="K602">
            <v>22.069908580516262</v>
          </cell>
          <cell r="M602">
            <v>15.27</v>
          </cell>
        </row>
        <row r="603">
          <cell r="G603" t="str">
            <v>Precast concrete kerb, Type HB2, laid straight or curved exceeding 12 metres radius</v>
          </cell>
          <cell r="H603" t="str">
            <v>m</v>
          </cell>
          <cell r="I603">
            <v>18.129772432624158</v>
          </cell>
          <cell r="K603">
            <v>18.210333983940139</v>
          </cell>
          <cell r="M603">
            <v>14.95</v>
          </cell>
          <cell r="O603">
            <v>17.135476913043476</v>
          </cell>
          <cell r="Q603">
            <v>12.159903</v>
          </cell>
          <cell r="S603">
            <v>0.32340000000000002</v>
          </cell>
          <cell r="U603">
            <v>4.6521739130434785</v>
          </cell>
          <cell r="W603">
            <v>70</v>
          </cell>
        </row>
        <row r="604">
          <cell r="G604" t="str">
            <v>Precast concrete kerb, Type HB2, laid to curves not exceeding 12 metres radius</v>
          </cell>
          <cell r="H604" t="str">
            <v>m</v>
          </cell>
          <cell r="I604">
            <v>21.931784987138748</v>
          </cell>
          <cell r="K604">
            <v>22.064436259814901</v>
          </cell>
          <cell r="M604">
            <v>15.27</v>
          </cell>
          <cell r="O604">
            <v>17.833303000000001</v>
          </cell>
          <cell r="Q604">
            <v>12.159903</v>
          </cell>
          <cell r="S604">
            <v>0.32340000000000002</v>
          </cell>
          <cell r="U604">
            <v>5.35</v>
          </cell>
          <cell r="W604">
            <v>70</v>
          </cell>
        </row>
        <row r="605">
          <cell r="G605" t="str">
            <v>Precast concrete kerb. Type BN, laid straight or curved exceeding  12 metres radius</v>
          </cell>
          <cell r="H605" t="str">
            <v>m</v>
          </cell>
          <cell r="I605">
            <v>17.131200828240626</v>
          </cell>
          <cell r="K605">
            <v>17.310060024386772</v>
          </cell>
          <cell r="M605">
            <v>13.25</v>
          </cell>
        </row>
        <row r="606">
          <cell r="G606" t="str">
            <v>Precast concrete kerb. Type BN, laid to curves not exceeding 12 metre radius</v>
          </cell>
          <cell r="H606" t="str">
            <v>m</v>
          </cell>
          <cell r="I606">
            <v>21.198002646110623</v>
          </cell>
          <cell r="K606">
            <v>21.428641753874587</v>
          </cell>
          <cell r="M606">
            <v>13.57</v>
          </cell>
        </row>
        <row r="607">
          <cell r="G607" t="str">
            <v>Insitu asphalt kerb laid straight or curved exceeding 12 metres radius</v>
          </cell>
          <cell r="H607" t="str">
            <v>m</v>
          </cell>
          <cell r="I607">
            <v>8.0788141178471875</v>
          </cell>
          <cell r="K607">
            <v>8.6000758216371622</v>
          </cell>
          <cell r="M607">
            <v>10.77</v>
          </cell>
        </row>
        <row r="608">
          <cell r="G608" t="str">
            <v>Insitu asphalt kerb laid to curves not exceeding 12 metres radius</v>
          </cell>
          <cell r="H608" t="str">
            <v>m</v>
          </cell>
          <cell r="I608">
            <v>8.6013531178471876</v>
          </cell>
          <cell r="K608">
            <v>9.1217045289419527</v>
          </cell>
          <cell r="M608">
            <v>10.77</v>
          </cell>
        </row>
        <row r="609">
          <cell r="G609" t="str">
            <v>Precast concrete channels, Type CS2, laid straight or curved exceeding 12 metres radius</v>
          </cell>
          <cell r="H609" t="str">
            <v>m</v>
          </cell>
          <cell r="I609">
            <v>16.081671924196876</v>
          </cell>
          <cell r="K609">
            <v>16.471662533129528</v>
          </cell>
          <cell r="M609">
            <v>16.5</v>
          </cell>
        </row>
        <row r="610">
          <cell r="G610" t="str">
            <v>Precast concrete channels, Type CS2 laid to curves not exceeding 12 metres radius</v>
          </cell>
          <cell r="H610" t="str">
            <v>m</v>
          </cell>
          <cell r="I610">
            <v>18.892190559745</v>
          </cell>
          <cell r="K610">
            <v>19.268495577778438</v>
          </cell>
          <cell r="M610">
            <v>16.5</v>
          </cell>
        </row>
        <row r="611">
          <cell r="G611" t="str">
            <v>Precast concrete edgings, Type EF, laid straight or curved exceeding 12 metres radius</v>
          </cell>
          <cell r="H611" t="str">
            <v>m</v>
          </cell>
          <cell r="I611">
            <v>9.942853421116876</v>
          </cell>
          <cell r="K611">
            <v>10.049331615464309</v>
          </cell>
          <cell r="M611">
            <v>9.2200000000000006</v>
          </cell>
          <cell r="O611">
            <v>5.3499935000000001</v>
          </cell>
          <cell r="Q611">
            <v>2.6056935000000001</v>
          </cell>
          <cell r="S611">
            <v>6.93E-2</v>
          </cell>
          <cell r="U611">
            <v>2.6749999999999998</v>
          </cell>
          <cell r="W611">
            <v>15</v>
          </cell>
        </row>
        <row r="612">
          <cell r="G612" t="str">
            <v>Precast concrete edgings, Type EF, laid to curves not exceeding 12 metres radius</v>
          </cell>
          <cell r="H612" t="str">
            <v>m</v>
          </cell>
          <cell r="I612">
            <v>11.119575099266248</v>
          </cell>
          <cell r="K612">
            <v>11.213358468700084</v>
          </cell>
          <cell r="M612">
            <v>10.91</v>
          </cell>
          <cell r="O612">
            <v>6.0187435000000002</v>
          </cell>
          <cell r="Q612">
            <v>2.6056935000000001</v>
          </cell>
          <cell r="S612">
            <v>6.93E-2</v>
          </cell>
          <cell r="U612">
            <v>3.34375</v>
          </cell>
          <cell r="W612">
            <v>15</v>
          </cell>
        </row>
        <row r="613">
          <cell r="G613" t="str">
            <v>Combined drainage and kerb block Type A, laid straight or curved exceeding 12 metres radius.</v>
          </cell>
          <cell r="H613" t="str">
            <v>m</v>
          </cell>
          <cell r="I613">
            <v>80.602749297615617</v>
          </cell>
          <cell r="K613">
            <v>85.146601968723118</v>
          </cell>
          <cell r="M613">
            <v>117.99</v>
          </cell>
        </row>
        <row r="614">
          <cell r="G614" t="str">
            <v>Combined drainage and kerb block Type A, laid curved not exceeding 12 metres radius.</v>
          </cell>
          <cell r="H614" t="str">
            <v>m</v>
          </cell>
          <cell r="I614">
            <v>90.338177972854993</v>
          </cell>
          <cell r="K614">
            <v>94.149439508144454</v>
          </cell>
          <cell r="M614">
            <v>164.24</v>
          </cell>
        </row>
        <row r="615">
          <cell r="G615" t="str">
            <v>Trapped outfall with access unit for combined drainage and kerb block Type A.</v>
          </cell>
          <cell r="H615" t="str">
            <v>no</v>
          </cell>
          <cell r="I615">
            <v>306.54442678586247</v>
          </cell>
          <cell r="K615">
            <v>355.80339675624526</v>
          </cell>
        </row>
        <row r="616">
          <cell r="G616" t="str">
            <v>Combined drainage and kerb block Type B, laid straight or curved exceeding 12 metres radius.</v>
          </cell>
          <cell r="H616" t="str">
            <v>m</v>
          </cell>
          <cell r="I616">
            <v>90.403175587615635</v>
          </cell>
          <cell r="K616">
            <v>92.838476229344906</v>
          </cell>
          <cell r="M616">
            <v>123.91</v>
          </cell>
        </row>
        <row r="617">
          <cell r="G617" t="str">
            <v>Combined drainage and kerb block Type B, laid curved not exceeding 12 metres radius.</v>
          </cell>
          <cell r="H617" t="str">
            <v>m</v>
          </cell>
          <cell r="I617">
            <v>101.64382834420501</v>
          </cell>
          <cell r="K617">
            <v>106.51493611503787</v>
          </cell>
          <cell r="M617">
            <v>172.51</v>
          </cell>
        </row>
        <row r="618">
          <cell r="G618" t="str">
            <v>Trapped outfall with access unit for combined drainage and kerb block Type B.</v>
          </cell>
          <cell r="H618" t="str">
            <v>no</v>
          </cell>
          <cell r="I618">
            <v>280.57810966686247</v>
          </cell>
          <cell r="K618">
            <v>337.93008196432032</v>
          </cell>
        </row>
        <row r="619">
          <cell r="I619" t="str">
            <v/>
          </cell>
        </row>
        <row r="620">
          <cell r="G620" t="str">
            <v>&lt;Select&gt;</v>
          </cell>
          <cell r="I620" t="str">
            <v/>
          </cell>
        </row>
        <row r="621">
          <cell r="G621" t="str">
            <v>Additional in situ concrete mix ST1 for Type SP precast concrete kerb</v>
          </cell>
          <cell r="H621" t="str">
            <v>m3</v>
          </cell>
          <cell r="I621">
            <v>99.391856468946884</v>
          </cell>
          <cell r="K621">
            <v>105.07197370661328</v>
          </cell>
          <cell r="M621">
            <v>116.85</v>
          </cell>
        </row>
        <row r="622">
          <cell r="I622" t="str">
            <v/>
          </cell>
        </row>
        <row r="623">
          <cell r="G623" t="str">
            <v>&lt;Select&gt;</v>
          </cell>
          <cell r="I623" t="str">
            <v/>
          </cell>
        </row>
        <row r="624">
          <cell r="G624" t="str">
            <v>Footway specified design group Type 1 250mm thick</v>
          </cell>
          <cell r="H624" t="str">
            <v>m2</v>
          </cell>
          <cell r="I624">
            <v>24.41716530166709</v>
          </cell>
          <cell r="K624">
            <v>24.756763108849508</v>
          </cell>
          <cell r="M624">
            <v>22.34</v>
          </cell>
          <cell r="O624">
            <v>29.193735512499998</v>
          </cell>
          <cell r="Q624">
            <v>14.0093215125</v>
          </cell>
          <cell r="S624">
            <v>2.1469140000000002</v>
          </cell>
          <cell r="U624">
            <v>13.0375</v>
          </cell>
          <cell r="W624">
            <v>542.15</v>
          </cell>
        </row>
        <row r="625">
          <cell r="G625" t="str">
            <v>Paved area specified design group Type 1 250mm thick</v>
          </cell>
          <cell r="H625" t="str">
            <v>m2</v>
          </cell>
          <cell r="I625">
            <v>24.414980463945003</v>
          </cell>
          <cell r="K625">
            <v>24.75600727553639</v>
          </cell>
          <cell r="M625">
            <v>22.34</v>
          </cell>
          <cell r="O625">
            <v>29.193735512499998</v>
          </cell>
          <cell r="Q625">
            <v>14.0093215125</v>
          </cell>
          <cell r="S625">
            <v>2.1469140000000002</v>
          </cell>
          <cell r="U625">
            <v>13.0375</v>
          </cell>
          <cell r="W625">
            <v>542.15</v>
          </cell>
        </row>
        <row r="626">
          <cell r="G626" t="str">
            <v>Stone paving flags in paved area on granular material Type 1 sub-base 150 mm thick and mortar bedding surfaces sloping at 10 or less to the horizontal</v>
          </cell>
          <cell r="H626" t="str">
            <v>m2</v>
          </cell>
          <cell r="I626">
            <v>103.55881550085437</v>
          </cell>
          <cell r="K626">
            <v>109.09015128685053</v>
          </cell>
        </row>
        <row r="627">
          <cell r="G627" t="str">
            <v>Stone paving flags in paved area on granular material Type 1 sub-base 150 mm thick and mortar bedding surfaces sloping at more than 10 to the horizontal</v>
          </cell>
          <cell r="H627" t="str">
            <v>m2</v>
          </cell>
          <cell r="I627">
            <v>106.34713807065438</v>
          </cell>
          <cell r="K627">
            <v>112.37652750295612</v>
          </cell>
        </row>
        <row r="628">
          <cell r="G628" t="str">
            <v>Concrete block paving in paved area on granular material Type 1 sub-base 150 mm thick and mortar bedding surfaces sloping at 10 or less to the horizontal</v>
          </cell>
          <cell r="H628" t="str">
            <v>m2</v>
          </cell>
          <cell r="I628">
            <v>38.911594944204381</v>
          </cell>
          <cell r="K628">
            <v>40.923192562641205</v>
          </cell>
          <cell r="M628">
            <v>29.21</v>
          </cell>
        </row>
        <row r="629">
          <cell r="G629" t="str">
            <v>Concrete block paving in paved area on granular material Type 1 sub-base 150 mm thick and mortar bedding surfaces sloping at more than 10 to the horizontal</v>
          </cell>
          <cell r="H629" t="str">
            <v>m2</v>
          </cell>
          <cell r="I629">
            <v>40.632824452404371</v>
          </cell>
          <cell r="K629">
            <v>42.844652004332289</v>
          </cell>
          <cell r="M629">
            <v>30.14</v>
          </cell>
        </row>
        <row r="630">
          <cell r="G630" t="str">
            <v>Clay block paving in paved area on granular material Type 1 sub-base 150 mm thick and mortar bedding surfaces sloping at 10 or less to the horizontal</v>
          </cell>
          <cell r="H630" t="str">
            <v>m2</v>
          </cell>
          <cell r="I630">
            <v>51.480921017779373</v>
          </cell>
          <cell r="K630">
            <v>54.258807046152782</v>
          </cell>
        </row>
        <row r="631">
          <cell r="G631" t="str">
            <v>Clay block paving in paved area on granular material Type 1 sub-base 150 mm thick and mortar bedding surfaces sloping at more than 10 to the horizontal</v>
          </cell>
          <cell r="H631" t="str">
            <v>m2</v>
          </cell>
          <cell r="I631">
            <v>52.824528634479378</v>
          </cell>
          <cell r="K631">
            <v>56.283187861491363</v>
          </cell>
        </row>
        <row r="632">
          <cell r="G632" t="str">
            <v>Brick paving in paved area on granular material Type 1 sub-base 150 mm thick and mortar bedding surfaces sloping at 10 or less to the horizontal</v>
          </cell>
          <cell r="H632" t="str">
            <v>m2</v>
          </cell>
          <cell r="I632">
            <v>57.413185744495003</v>
          </cell>
          <cell r="K632">
            <v>61.144202106051267</v>
          </cell>
        </row>
        <row r="633">
          <cell r="G633" t="str">
            <v>Brick paving in paved area on granular material Type 1 sub-base 150 mm thick and mortar bedding surfaces sloping at more than 10 to the horizontal</v>
          </cell>
          <cell r="H633" t="str">
            <v>m2</v>
          </cell>
          <cell r="I633">
            <v>59.070193531794999</v>
          </cell>
          <cell r="K633">
            <v>63.177107819982091</v>
          </cell>
        </row>
        <row r="634">
          <cell r="G634" t="str">
            <v>Stone paving flags in paved area on cement bound material Category 1 sub-base 150 mm thick and mortar bedding surfaces sloping at 10 or less to the horizontal</v>
          </cell>
          <cell r="H634" t="str">
            <v>m2</v>
          </cell>
          <cell r="I634">
            <v>117.76845255549188</v>
          </cell>
          <cell r="K634">
            <v>124.29314178533669</v>
          </cell>
        </row>
        <row r="635">
          <cell r="G635" t="str">
            <v>Stone paving flags in paved area on wet lean concrete 1 sub-base 150 mm thick and mortar bedding surfaces sloping at 10 or less to the horizontal</v>
          </cell>
          <cell r="H635" t="str">
            <v>m2</v>
          </cell>
          <cell r="I635">
            <v>116.76774398059187</v>
          </cell>
          <cell r="K635">
            <v>123.57969845118777</v>
          </cell>
        </row>
        <row r="636">
          <cell r="G636" t="str">
            <v>Cement bound material Category 1 regulating course</v>
          </cell>
          <cell r="H636" t="str">
            <v>m3</v>
          </cell>
          <cell r="I636">
            <v>114.32365886583749</v>
          </cell>
          <cell r="K636">
            <v>116.51658992591886</v>
          </cell>
        </row>
        <row r="637">
          <cell r="G637" t="str">
            <v>Wet lean concrete 1 regulating course</v>
          </cell>
          <cell r="H637" t="str">
            <v>m3</v>
          </cell>
          <cell r="I637">
            <v>105.55889984271251</v>
          </cell>
          <cell r="K637">
            <v>106.6389309303584</v>
          </cell>
        </row>
        <row r="638">
          <cell r="G638" t="str">
            <v>Dense bitumen macadam with grade 50 penetration binder with 20 mm aggregate regulating course</v>
          </cell>
          <cell r="H638" t="str">
            <v>t</v>
          </cell>
          <cell r="I638">
            <v>94.322848493292184</v>
          </cell>
          <cell r="K638">
            <v>100.75825160854404</v>
          </cell>
        </row>
        <row r="639">
          <cell r="G639" t="str">
            <v>Rolled asphalt with 20 mm aggregate regulating course</v>
          </cell>
          <cell r="H639" t="str">
            <v>t</v>
          </cell>
          <cell r="I639">
            <v>116.78639673278595</v>
          </cell>
          <cell r="K639">
            <v>120.66160471616472</v>
          </cell>
        </row>
        <row r="640">
          <cell r="I640" t="str">
            <v/>
          </cell>
        </row>
        <row r="641">
          <cell r="G641" t="str">
            <v>&lt;Select&gt;</v>
          </cell>
          <cell r="I641" t="str">
            <v/>
          </cell>
        </row>
        <row r="642">
          <cell r="G642" t="str">
            <v>Remove from store and relay stone paving flags in paved area on granular material Type 1 sub-base 150 mm thick</v>
          </cell>
          <cell r="H642" t="str">
            <v>m2</v>
          </cell>
          <cell r="I642">
            <v>47.897499685494992</v>
          </cell>
          <cell r="K642">
            <v>61.112893184853576</v>
          </cell>
        </row>
        <row r="643">
          <cell r="G643" t="str">
            <v>Remove from store and relay granite sett paving in paved area on granular material Type 1 sub-base 150 mm thick</v>
          </cell>
          <cell r="H643" t="str">
            <v>m2</v>
          </cell>
          <cell r="I643">
            <v>54.389371495121253</v>
          </cell>
          <cell r="K643">
            <v>65.167855266446921</v>
          </cell>
        </row>
        <row r="644">
          <cell r="I644" t="str">
            <v/>
          </cell>
        </row>
        <row r="645">
          <cell r="I645" t="str">
            <v/>
          </cell>
        </row>
        <row r="646">
          <cell r="I646" t="str">
            <v/>
          </cell>
        </row>
        <row r="647">
          <cell r="G647" t="str">
            <v>&lt;Select&gt;</v>
          </cell>
          <cell r="I647" t="str">
            <v/>
          </cell>
        </row>
        <row r="648">
          <cell r="I648" t="str">
            <v/>
          </cell>
        </row>
        <row r="649">
          <cell r="G649" t="str">
            <v>&lt;Select&gt;</v>
          </cell>
          <cell r="I649" t="str">
            <v/>
          </cell>
        </row>
        <row r="650">
          <cell r="G650" t="str">
            <v>Retroreflective traffic sign as non-lit sign unit, sign face not exceeding 0.25 square metres in area on one tubular steel post</v>
          </cell>
          <cell r="H650" t="str">
            <v>no</v>
          </cell>
          <cell r="I650">
            <v>173.92939636366575</v>
          </cell>
          <cell r="K650">
            <v>177.99766069203028</v>
          </cell>
          <cell r="O650">
            <v>526.38677360999998</v>
          </cell>
          <cell r="Q650">
            <v>520.28305401</v>
          </cell>
          <cell r="S650">
            <v>6.1037196000000007</v>
          </cell>
          <cell r="U650">
            <v>0</v>
          </cell>
          <cell r="W650">
            <v>1244.2149999999999</v>
          </cell>
        </row>
        <row r="651">
          <cell r="G651" t="str">
            <v>Retroreflective traffic sign as non-lit sign unit, sign face exceeding 0.75 square metres but not exceeding 1 square metres in area on two tubular steel posts</v>
          </cell>
          <cell r="H651" t="str">
            <v>no</v>
          </cell>
          <cell r="I651">
            <v>656.7204125370082</v>
          </cell>
          <cell r="K651">
            <v>660.20702263218857</v>
          </cell>
        </row>
        <row r="652">
          <cell r="G652" t="str">
            <v>Retroreflective traffic sign as non-lit sign unit, sign face exceeding 5 square metres but not exceeding 6 square metres in area on three tubular steel posts</v>
          </cell>
          <cell r="H652" t="str">
            <v>no</v>
          </cell>
          <cell r="I652">
            <v>2426.5878782964733</v>
          </cell>
          <cell r="K652">
            <v>2455.950669918052</v>
          </cell>
        </row>
        <row r="653">
          <cell r="G653" t="str">
            <v>Retroreflective traffic sign as non-lit sign unit, sign face exceeding 10 square metres but not exceeding 11 square metres in area on three tubular steel posts</v>
          </cell>
          <cell r="H653" t="str">
            <v>no</v>
          </cell>
          <cell r="I653">
            <v>3717.032309795698</v>
          </cell>
          <cell r="K653">
            <v>3869.6206389150952</v>
          </cell>
          <cell r="O653">
            <v>1555.45955568</v>
          </cell>
          <cell r="Q653">
            <v>1537.62001968</v>
          </cell>
          <cell r="S653">
            <v>17.839536000000003</v>
          </cell>
          <cell r="U653">
            <v>0</v>
          </cell>
          <cell r="W653">
            <v>3442.3999999999996</v>
          </cell>
        </row>
        <row r="654">
          <cell r="G654" t="str">
            <v>Retroreflective traffic sign as non-lit sign unit, sign face exceeding 10 square metres but not exceeding 11 square metres in area on three lattix masts</v>
          </cell>
          <cell r="H654" t="str">
            <v>no</v>
          </cell>
          <cell r="I654">
            <v>8776.7896566572799</v>
          </cell>
          <cell r="K654">
            <v>9448.3476812963236</v>
          </cell>
        </row>
        <row r="655">
          <cell r="G655" t="str">
            <v>Retroreflective traffic sign as non-lit sign unit, sign face exceeding 15 square metres but not exceeding 16 square metres in area on two rectangular steel posts</v>
          </cell>
          <cell r="H655" t="str">
            <v>no</v>
          </cell>
          <cell r="I655">
            <v>5610.4787384205592</v>
          </cell>
          <cell r="K655">
            <v>6007.2515689095362</v>
          </cell>
        </row>
        <row r="656">
          <cell r="G656" t="str">
            <v>Retroreflective traffic sign as non-lit sign unit, sign face exceeding 20 square metres but not exceeding 21 square metres in area on two rectangular steel posts</v>
          </cell>
          <cell r="H656" t="str">
            <v>no</v>
          </cell>
          <cell r="I656">
            <v>7392.0009082098004</v>
          </cell>
          <cell r="K656">
            <v>7925.0134988239697</v>
          </cell>
        </row>
        <row r="657">
          <cell r="G657" t="str">
            <v>Retroreflective traffic sign as non-lit sign unit, sign face exceeding 20 square metres but not exceeding 21 square metres in area on two lattix masts</v>
          </cell>
          <cell r="H657" t="str">
            <v>no</v>
          </cell>
          <cell r="I657">
            <v>10586.028992472216</v>
          </cell>
          <cell r="K657">
            <v>11598.650254981541</v>
          </cell>
        </row>
        <row r="658">
          <cell r="G658" t="str">
            <v>Retroreflective traffic sign as non-lit sign unit, sign face exceeding 25 square metres but not exceeding 26 square metres in area on three rectangular steel posts</v>
          </cell>
          <cell r="H658" t="str">
            <v>no</v>
          </cell>
          <cell r="I658">
            <v>9900.4507519238541</v>
          </cell>
          <cell r="K658">
            <v>10467.875965565667</v>
          </cell>
        </row>
        <row r="659">
          <cell r="G659" t="str">
            <v>Retroreflective traffic sign as non-lit sign unit, sign face exceeding 25 square metres but not exceeding 26 square metres in area on three lattix masts</v>
          </cell>
          <cell r="H659" t="str">
            <v>no</v>
          </cell>
          <cell r="I659">
            <v>15223.549469608477</v>
          </cell>
          <cell r="K659">
            <v>16647.725207216696</v>
          </cell>
        </row>
        <row r="660">
          <cell r="G660" t="str">
            <v>Retroreflective traffic sign as lit sign unit, sign face not exceeding 0.25 square metres in area on one tubular steel post</v>
          </cell>
          <cell r="H660" t="str">
            <v>no</v>
          </cell>
          <cell r="I660">
            <v>333.50466441117987</v>
          </cell>
          <cell r="K660">
            <v>339.71790028490386</v>
          </cell>
        </row>
        <row r="661">
          <cell r="G661" t="str">
            <v>Retroreflective traffic sign as lit sign unit, sign face exceeding 5 square metres but not exceeding 6 square metres in area on three tubular steel posts</v>
          </cell>
          <cell r="H661" t="str">
            <v>no</v>
          </cell>
          <cell r="I661">
            <v>2688.8685949246542</v>
          </cell>
          <cell r="K661">
            <v>2764.1021940855894</v>
          </cell>
        </row>
        <row r="662">
          <cell r="G662" t="str">
            <v xml:space="preserve">Enhanced retroreflective traffic sign as non-lit sign unit, sign face not exceeding 0.25 square metres in area on one tubular steel post </v>
          </cell>
          <cell r="H662" t="str">
            <v>no</v>
          </cell>
          <cell r="I662">
            <v>202.25671700493345</v>
          </cell>
          <cell r="K662">
            <v>204.92919913044415</v>
          </cell>
        </row>
        <row r="663">
          <cell r="G663" t="str">
            <v>Enhanced retroreflective traffic sign as non-lit sign unit, sign face exceeding 4 square metres but not exceeding 5 square metres in area on two tubular steel posts</v>
          </cell>
          <cell r="H663" t="str">
            <v>no</v>
          </cell>
          <cell r="I663">
            <v>1770.8632086889456</v>
          </cell>
          <cell r="K663">
            <v>1810.4314176731752</v>
          </cell>
        </row>
        <row r="664">
          <cell r="G664" t="str">
            <v>Enhanced retroreflective traffic sign as non-lit sign unit, sign face exceeding 9 square metres but not exceeding 10 square metres in area on four tubular steel posts</v>
          </cell>
          <cell r="H664" t="str">
            <v>no</v>
          </cell>
          <cell r="I664">
            <v>3263.9454294370371</v>
          </cell>
          <cell r="K664">
            <v>3292.5039452433289</v>
          </cell>
        </row>
        <row r="665">
          <cell r="I665" t="str">
            <v/>
          </cell>
        </row>
        <row r="666">
          <cell r="G666" t="str">
            <v>&lt;Select&gt;</v>
          </cell>
          <cell r="I666" t="str">
            <v/>
          </cell>
        </row>
        <row r="667">
          <cell r="G667" t="str">
            <v>Removal of solid area in thermoplastic screed</v>
          </cell>
          <cell r="H667" t="str">
            <v>m2</v>
          </cell>
          <cell r="I667">
            <v>8.6176696967421247</v>
          </cell>
          <cell r="K667">
            <v>8.6325932039033475</v>
          </cell>
        </row>
        <row r="668">
          <cell r="G668" t="str">
            <v>Removal of solid area in thermoplastic spray</v>
          </cell>
          <cell r="H668" t="str">
            <v>m2</v>
          </cell>
          <cell r="I668">
            <v>8.6600058263421253</v>
          </cell>
          <cell r="K668">
            <v>8.6753764652631276</v>
          </cell>
        </row>
        <row r="669">
          <cell r="G669" t="str">
            <v>Removal of solid area in road marking paint</v>
          </cell>
          <cell r="H669" t="str">
            <v>m2</v>
          </cell>
          <cell r="I669">
            <v>8.6600058263421253</v>
          </cell>
          <cell r="K669">
            <v>8.6753764652631276</v>
          </cell>
        </row>
        <row r="670">
          <cell r="G670" t="str">
            <v>Removal of continuous line in thermoplastic screed 100 mm wide</v>
          </cell>
          <cell r="H670" t="str">
            <v>m</v>
          </cell>
          <cell r="I670">
            <v>0.86516243426934369</v>
          </cell>
          <cell r="K670">
            <v>0.86676113533576504</v>
          </cell>
        </row>
        <row r="671">
          <cell r="G671" t="str">
            <v>Removal of continuous line in thermoplastic screed 150 mm wide</v>
          </cell>
          <cell r="H671" t="str">
            <v>m</v>
          </cell>
          <cell r="I671">
            <v>1.2984817507310624</v>
          </cell>
          <cell r="K671">
            <v>1.300871240837135</v>
          </cell>
        </row>
        <row r="672">
          <cell r="G672" t="str">
            <v>Removal of continuous line in thermoplastic screed 200 mm wide</v>
          </cell>
          <cell r="H672" t="str">
            <v>m</v>
          </cell>
          <cell r="I672">
            <v>1.7301797537961248</v>
          </cell>
          <cell r="K672">
            <v>1.7332225841889399</v>
          </cell>
        </row>
        <row r="673">
          <cell r="G673" t="str">
            <v xml:space="preserve">Removal of intermittent line in thermoplastic screed 100 mm wide with 1 metre line and 5 metre gap </v>
          </cell>
          <cell r="H673" t="str">
            <v>m</v>
          </cell>
          <cell r="I673">
            <v>0.86516243426934369</v>
          </cell>
          <cell r="K673">
            <v>0.86676113533576504</v>
          </cell>
        </row>
        <row r="674">
          <cell r="G674" t="str">
            <v>Removal of intermittent line in thermoplastic screed 100mm wide with 600mm line and 300mm gap</v>
          </cell>
          <cell r="H674" t="str">
            <v>m</v>
          </cell>
          <cell r="I674">
            <v>0.86516243426934369</v>
          </cell>
          <cell r="K674">
            <v>0.86676113533576504</v>
          </cell>
        </row>
        <row r="675">
          <cell r="G675" t="str">
            <v>Removal of intermittent line in thermoplastic screed 100mm wide with 1m line and 1m gap</v>
          </cell>
          <cell r="H675" t="str">
            <v>m</v>
          </cell>
          <cell r="I675">
            <v>0.96526243426934377</v>
          </cell>
          <cell r="K675">
            <v>0.99586902036791181</v>
          </cell>
        </row>
        <row r="676">
          <cell r="G676" t="str">
            <v>Removal of intermittent line in thermoplastic screed 200mm wide with 600mm line and 300mm gap</v>
          </cell>
          <cell r="H676" t="str">
            <v>m</v>
          </cell>
          <cell r="I676">
            <v>1.7301797537961248</v>
          </cell>
          <cell r="K676">
            <v>1.7332225841889399</v>
          </cell>
        </row>
        <row r="677">
          <cell r="G677" t="str">
            <v>Removal of intermittent line in thermoplastic screed 100mm wide with 4m line and 2m gap</v>
          </cell>
          <cell r="H677" t="str">
            <v>m</v>
          </cell>
          <cell r="I677">
            <v>0.88165860546934383</v>
          </cell>
          <cell r="K677">
            <v>0.88500960354254987</v>
          </cell>
        </row>
        <row r="678">
          <cell r="G678" t="str">
            <v xml:space="preserve">Removal of intermittent line in thermoplastic screed 150 mm wide with 1 metre line and 5 metre gap </v>
          </cell>
          <cell r="H678" t="str">
            <v>m</v>
          </cell>
          <cell r="I678">
            <v>1.2984817507310624</v>
          </cell>
          <cell r="K678">
            <v>1.300871240837135</v>
          </cell>
        </row>
        <row r="679">
          <cell r="G679" t="str">
            <v xml:space="preserve">Removal of intermittent line in thermoplastic screed 100 mm wide with 2 metre line and 7 metre gap </v>
          </cell>
          <cell r="H679" t="str">
            <v>m</v>
          </cell>
          <cell r="I679">
            <v>0.86516243426934369</v>
          </cell>
          <cell r="K679">
            <v>0.86676113533576504</v>
          </cell>
        </row>
        <row r="680">
          <cell r="G680" t="str">
            <v xml:space="preserve">Removal of intermittent line in thermoplastic screed 100 mm wide with 6 metre line and 3 metre gap </v>
          </cell>
          <cell r="H680" t="str">
            <v>m</v>
          </cell>
          <cell r="I680">
            <v>0.86516243426934369</v>
          </cell>
          <cell r="K680">
            <v>0.86676113533576504</v>
          </cell>
        </row>
        <row r="681">
          <cell r="G681" t="str">
            <v xml:space="preserve">Removal of intermittent line in thermoplastic screed 200 mm wide with 1 metre line and 1 metre gap </v>
          </cell>
          <cell r="H681" t="str">
            <v>m</v>
          </cell>
          <cell r="I681">
            <v>1.7301797537961248</v>
          </cell>
          <cell r="K681">
            <v>1.7332225841889399</v>
          </cell>
        </row>
        <row r="682">
          <cell r="G682" t="str">
            <v xml:space="preserve">Removal of raised rib line in thermoplastic screed 150 mm wide with ribs at 300 mm centres </v>
          </cell>
          <cell r="H682" t="str">
            <v>m</v>
          </cell>
          <cell r="I682">
            <v>1.5463594330944062</v>
          </cell>
          <cell r="K682">
            <v>1.549119656891603</v>
          </cell>
        </row>
        <row r="683">
          <cell r="G683" t="str">
            <v xml:space="preserve">Removal of raised rib line in thermoplastic screed 200 mm wide with ribs at 300 mm centres </v>
          </cell>
          <cell r="H683" t="str">
            <v>m</v>
          </cell>
          <cell r="I683">
            <v>1.9823528844412499</v>
          </cell>
          <cell r="K683">
            <v>1.9858171050458653</v>
          </cell>
        </row>
        <row r="684">
          <cell r="G684" t="str">
            <v>Solid area in white thermoplastic screed</v>
          </cell>
          <cell r="H684" t="str">
            <v>m2</v>
          </cell>
          <cell r="I684">
            <v>5.0760567317013434</v>
          </cell>
          <cell r="K684">
            <v>5.0873831900153643</v>
          </cell>
        </row>
        <row r="685">
          <cell r="G685" t="str">
            <v>Solid area in white thermoplastic spray</v>
          </cell>
          <cell r="H685" t="str">
            <v>m2</v>
          </cell>
          <cell r="I685">
            <v>5.0760567317013443</v>
          </cell>
          <cell r="K685">
            <v>5.0873831900153643</v>
          </cell>
        </row>
        <row r="686">
          <cell r="G686" t="str">
            <v>Solid area in white road marking paint</v>
          </cell>
          <cell r="H686" t="str">
            <v>m2</v>
          </cell>
          <cell r="I686">
            <v>5.0760567317013434</v>
          </cell>
          <cell r="K686">
            <v>5.0873831900153643</v>
          </cell>
        </row>
        <row r="687">
          <cell r="G687" t="str">
            <v>Continuous line in white thermoplastic screed 100 mm wide</v>
          </cell>
          <cell r="H687" t="str">
            <v>m</v>
          </cell>
          <cell r="I687">
            <v>0.42800959784131942</v>
          </cell>
          <cell r="K687">
            <v>0.42880004939975436</v>
          </cell>
          <cell r="M687">
            <v>0.76</v>
          </cell>
        </row>
        <row r="688">
          <cell r="G688" t="str">
            <v>Continuous line in white thermoplastic screed 150 mm wide</v>
          </cell>
          <cell r="H688" t="str">
            <v>m</v>
          </cell>
          <cell r="I688">
            <v>0.64245929509531252</v>
          </cell>
          <cell r="K688">
            <v>0.64359707136543276</v>
          </cell>
          <cell r="M688">
            <v>0.98</v>
          </cell>
        </row>
        <row r="689">
          <cell r="G689" t="str">
            <v>Continuous line in white thermoplastic screed 200 mm wide</v>
          </cell>
          <cell r="H689" t="str">
            <v>m</v>
          </cell>
          <cell r="I689">
            <v>0.85363440016537506</v>
          </cell>
          <cell r="K689">
            <v>0.85519445730023524</v>
          </cell>
          <cell r="M689">
            <v>1.3</v>
          </cell>
        </row>
        <row r="690">
          <cell r="G690" t="str">
            <v xml:space="preserve">Intermittent line in white thermoplastic screed 100 mm wide with 1 metre line and 5 metre gap </v>
          </cell>
          <cell r="H690" t="str">
            <v>m</v>
          </cell>
          <cell r="I690">
            <v>0.42800959784131942</v>
          </cell>
          <cell r="K690">
            <v>0.42880004939975436</v>
          </cell>
          <cell r="M690">
            <v>0.76</v>
          </cell>
        </row>
        <row r="691">
          <cell r="G691" t="str">
            <v xml:space="preserve">Intermittent line in white thermoplastic screed 100 mm wide with 2 metre line and 7 metre gap </v>
          </cell>
          <cell r="H691" t="str">
            <v>m</v>
          </cell>
          <cell r="I691">
            <v>0.42800959784131942</v>
          </cell>
          <cell r="K691">
            <v>0.42880004939975436</v>
          </cell>
          <cell r="M691">
            <v>0.76</v>
          </cell>
        </row>
        <row r="692">
          <cell r="G692" t="str">
            <v xml:space="preserve">Intermittent line in white thermoplastic screed 100 mm wide with 6 metre line and 3 metre gap </v>
          </cell>
          <cell r="H692" t="str">
            <v>m</v>
          </cell>
          <cell r="I692">
            <v>0.4250866458454155</v>
          </cell>
          <cell r="K692">
            <v>0.42597636945549805</v>
          </cell>
          <cell r="M692">
            <v>0.76</v>
          </cell>
          <cell r="O692">
            <v>0.68050799999999989</v>
          </cell>
          <cell r="Q692">
            <v>0.67931999999999992</v>
          </cell>
          <cell r="S692">
            <v>1.188E-3</v>
          </cell>
          <cell r="U692">
            <v>0</v>
          </cell>
          <cell r="W692">
            <v>0.3</v>
          </cell>
        </row>
        <row r="693">
          <cell r="G693" t="str">
            <v>Intermittent line in white thermoplastic screed 100mm wide with 600mm line and 300mm gap</v>
          </cell>
          <cell r="H693" t="str">
            <v>m</v>
          </cell>
          <cell r="I693">
            <v>0.48609785288612506</v>
          </cell>
          <cell r="K693">
            <v>0.48694788489168167</v>
          </cell>
          <cell r="M693">
            <v>0.76</v>
          </cell>
        </row>
        <row r="694">
          <cell r="G694" t="str">
            <v>Intermittent line in white thermoplastic screed 100mm wide with 1m line and 1m gap</v>
          </cell>
          <cell r="H694" t="str">
            <v>m</v>
          </cell>
          <cell r="I694">
            <v>0.42800959784131942</v>
          </cell>
          <cell r="K694">
            <v>0.42880004939975436</v>
          </cell>
          <cell r="M694">
            <v>0.76</v>
          </cell>
        </row>
        <row r="695">
          <cell r="G695" t="str">
            <v>Intermittent line in white thermoplastic screed 100mm wide with 4m line and 2m gap</v>
          </cell>
          <cell r="H695" t="str">
            <v>m</v>
          </cell>
          <cell r="I695">
            <v>0.42800959784131942</v>
          </cell>
          <cell r="K695">
            <v>0.42880004939975436</v>
          </cell>
          <cell r="M695">
            <v>0.76</v>
          </cell>
        </row>
        <row r="696">
          <cell r="G696" t="str">
            <v xml:space="preserve">Intermittent line in white thermoplastic screed 150 mm wide with 1 metre line and 5 metre gap </v>
          </cell>
          <cell r="H696" t="str">
            <v>m</v>
          </cell>
          <cell r="I696">
            <v>0.64245929509531252</v>
          </cell>
          <cell r="K696">
            <v>0.64359707136543276</v>
          </cell>
          <cell r="M696">
            <v>1.1499999999999999</v>
          </cell>
        </row>
        <row r="697">
          <cell r="G697" t="str">
            <v xml:space="preserve">Intermittent line in white thermoplastic screed 150 mm wide with 2 metre line and 7 metre gap </v>
          </cell>
          <cell r="H697" t="str">
            <v>m</v>
          </cell>
          <cell r="I697">
            <v>0.64245929509531252</v>
          </cell>
          <cell r="K697">
            <v>0.64359707136543276</v>
          </cell>
          <cell r="M697">
            <v>1.1499999999999999</v>
          </cell>
        </row>
        <row r="698">
          <cell r="G698" t="str">
            <v xml:space="preserve">Intermittent line in white thermoplastic screed 150 mm wide with 6 metre line and 3 metre gap </v>
          </cell>
          <cell r="H698" t="str">
            <v>m</v>
          </cell>
          <cell r="I698">
            <v>0.64245929509531252</v>
          </cell>
          <cell r="K698">
            <v>0.64359707136543276</v>
          </cell>
          <cell r="M698">
            <v>1.1499999999999999</v>
          </cell>
        </row>
        <row r="699">
          <cell r="G699" t="str">
            <v xml:space="preserve">Intermittent line in white thermoplastic screed 150 mm wide with 1 metre line and 1 metre gap </v>
          </cell>
          <cell r="H699" t="str">
            <v>m</v>
          </cell>
          <cell r="I699">
            <v>0.64245929509531252</v>
          </cell>
          <cell r="K699">
            <v>0.64359707136543276</v>
          </cell>
          <cell r="M699">
            <v>1.1499999999999999</v>
          </cell>
        </row>
        <row r="700">
          <cell r="G700" t="str">
            <v>Intermittent line in white thermoplastic screed 200mm wide with 600mm line and 300mm gap</v>
          </cell>
          <cell r="H700" t="str">
            <v>m</v>
          </cell>
          <cell r="I700">
            <v>0.95846184672912516</v>
          </cell>
          <cell r="K700">
            <v>0.96009894107247273</v>
          </cell>
          <cell r="M700">
            <v>1.54</v>
          </cell>
        </row>
        <row r="701">
          <cell r="G701" t="str">
            <v>Intermittent line in white thermoplastic screed 200mm wide with 1m line and 1m gap</v>
          </cell>
          <cell r="H701" t="str">
            <v>m</v>
          </cell>
          <cell r="I701">
            <v>0.97610583316537514</v>
          </cell>
          <cell r="K701">
            <v>1.0336754755273054</v>
          </cell>
          <cell r="M701">
            <v>1.54</v>
          </cell>
        </row>
        <row r="702">
          <cell r="G702" t="str">
            <v>Continuous line 1000mm wide (chevron)</v>
          </cell>
          <cell r="H702" t="str">
            <v>m</v>
          </cell>
          <cell r="I702">
            <v>6.9317837365241557</v>
          </cell>
          <cell r="K702">
            <v>6.9983335460923088</v>
          </cell>
        </row>
        <row r="703">
          <cell r="G703" t="str">
            <v xml:space="preserve">Raised rib line in white thermoplastic screed 150 mm wide with ribs at 500 mm centres </v>
          </cell>
          <cell r="H703" t="str">
            <v>m</v>
          </cell>
          <cell r="I703">
            <v>1.2335496427716248</v>
          </cell>
          <cell r="K703">
            <v>1.2357891989303664</v>
          </cell>
        </row>
        <row r="704">
          <cell r="G704" t="str">
            <v xml:space="preserve">Raised rib line in white thermoplastic screed 200 mm wide with ribs at 500 mm centres </v>
          </cell>
          <cell r="H704" t="str">
            <v>m</v>
          </cell>
          <cell r="I704">
            <v>1.852759564228375</v>
          </cell>
          <cell r="K704">
            <v>1.8560211417994601</v>
          </cell>
        </row>
        <row r="705">
          <cell r="G705" t="str">
            <v>Hatched area diag. 1040</v>
          </cell>
          <cell r="H705" t="str">
            <v>m2</v>
          </cell>
          <cell r="I705">
            <v>7.1917837365241555</v>
          </cell>
          <cell r="K705">
            <v>7.2043320594182063</v>
          </cell>
        </row>
        <row r="706">
          <cell r="G706" t="str">
            <v>Hatched area diag. 1040.3</v>
          </cell>
          <cell r="H706" t="str">
            <v>m2</v>
          </cell>
          <cell r="I706">
            <v>7.1917837365241555</v>
          </cell>
          <cell r="K706">
            <v>7.2043320594182063</v>
          </cell>
        </row>
        <row r="707">
          <cell r="G707" t="str">
            <v>Hatched area diag. 1040.4</v>
          </cell>
          <cell r="H707" t="str">
            <v>m2</v>
          </cell>
          <cell r="I707">
            <v>7.1917837365241555</v>
          </cell>
          <cell r="K707">
            <v>7.2043320594182063</v>
          </cell>
        </row>
        <row r="708">
          <cell r="G708" t="str">
            <v>Hatched area diag. 1041</v>
          </cell>
          <cell r="H708" t="str">
            <v>m2</v>
          </cell>
          <cell r="I708">
            <v>7.1917837365241555</v>
          </cell>
          <cell r="K708">
            <v>7.2043320594182063</v>
          </cell>
        </row>
        <row r="709">
          <cell r="G709" t="str">
            <v>Hatched area diag. 1042</v>
          </cell>
          <cell r="H709" t="str">
            <v>m2</v>
          </cell>
          <cell r="I709">
            <v>7.1917837365241555</v>
          </cell>
          <cell r="K709">
            <v>7.2043320594182063</v>
          </cell>
        </row>
        <row r="710">
          <cell r="I710" t="str">
            <v/>
          </cell>
        </row>
        <row r="711">
          <cell r="G711" t="str">
            <v>&lt;Select&gt;</v>
          </cell>
          <cell r="I711" t="str">
            <v/>
          </cell>
        </row>
        <row r="712">
          <cell r="G712" t="str">
            <v>One way reflecting road stud with corner cube reflectors</v>
          </cell>
          <cell r="H712" t="str">
            <v>no</v>
          </cell>
          <cell r="I712">
            <v>9.7461646467809686</v>
          </cell>
          <cell r="K712">
            <v>9.9111322148648604</v>
          </cell>
          <cell r="M712">
            <v>6</v>
          </cell>
        </row>
        <row r="713">
          <cell r="G713" t="str">
            <v>One way reflecting road stud with biconvex lens</v>
          </cell>
          <cell r="H713" t="str">
            <v>no</v>
          </cell>
          <cell r="I713">
            <v>9.7461646467809686</v>
          </cell>
          <cell r="K713">
            <v>9.9111322148648604</v>
          </cell>
          <cell r="M713">
            <v>6</v>
          </cell>
        </row>
        <row r="714">
          <cell r="G714" t="str">
            <v>Bi-directional reflecting road stud with corner cube reflectors</v>
          </cell>
          <cell r="H714" t="str">
            <v>no</v>
          </cell>
          <cell r="I714">
            <v>9.9420392589801878</v>
          </cell>
          <cell r="K714">
            <v>10.117319620471593</v>
          </cell>
          <cell r="M714">
            <v>6.33</v>
          </cell>
        </row>
        <row r="715">
          <cell r="G715" t="str">
            <v>Bi-directional reflecting road stud with biconvex lens</v>
          </cell>
          <cell r="H715" t="str">
            <v>no</v>
          </cell>
          <cell r="I715">
            <v>9.9420392589801878</v>
          </cell>
          <cell r="K715">
            <v>10.117319620471593</v>
          </cell>
          <cell r="M715">
            <v>6.33</v>
          </cell>
        </row>
        <row r="716">
          <cell r="I716" t="str">
            <v/>
          </cell>
        </row>
        <row r="717">
          <cell r="G717" t="str">
            <v>&lt;Select&gt;</v>
          </cell>
          <cell r="I717" t="str">
            <v/>
          </cell>
        </row>
        <row r="718">
          <cell r="G718" t="str">
            <v>Glass reinforced plastic marker post Type 1</v>
          </cell>
          <cell r="H718" t="str">
            <v>no</v>
          </cell>
          <cell r="I718">
            <v>35.815097965518753</v>
          </cell>
          <cell r="K718">
            <v>37.477239046118257</v>
          </cell>
          <cell r="M718">
            <v>13.59</v>
          </cell>
        </row>
        <row r="719">
          <cell r="G719" t="str">
            <v>Glass reinforced plastic marker post Type 2</v>
          </cell>
          <cell r="H719" t="str">
            <v>no</v>
          </cell>
          <cell r="I719">
            <v>35.815097965518753</v>
          </cell>
          <cell r="K719">
            <v>37.477239046118257</v>
          </cell>
          <cell r="M719">
            <v>13.59</v>
          </cell>
        </row>
        <row r="720">
          <cell r="G720" t="str">
            <v>Glass reinforced plastic marker post Type 3</v>
          </cell>
          <cell r="H720" t="str">
            <v>no</v>
          </cell>
          <cell r="I720">
            <v>36.014762848284377</v>
          </cell>
          <cell r="K720">
            <v>37.660676317504944</v>
          </cell>
          <cell r="M720">
            <v>13.59</v>
          </cell>
        </row>
        <row r="721">
          <cell r="G721" t="str">
            <v>Glass reinforced plastic marker post Type 4</v>
          </cell>
          <cell r="H721" t="str">
            <v>no</v>
          </cell>
          <cell r="I721">
            <v>37.370135402593746</v>
          </cell>
          <cell r="K721">
            <v>38.966106924606542</v>
          </cell>
          <cell r="M721">
            <v>13.59</v>
          </cell>
        </row>
        <row r="722">
          <cell r="G722" t="str">
            <v>Glass reinforced plastic marker post Type 5</v>
          </cell>
          <cell r="H722" t="str">
            <v>no</v>
          </cell>
          <cell r="I722">
            <v>36.217115231050002</v>
          </cell>
          <cell r="K722">
            <v>37.847462431244928</v>
          </cell>
          <cell r="M722">
            <v>12.88</v>
          </cell>
        </row>
        <row r="723">
          <cell r="G723" t="str">
            <v>Glass reinforced plastic marker post Type 6</v>
          </cell>
          <cell r="H723" t="str">
            <v>no</v>
          </cell>
          <cell r="I723">
            <v>35.614089332753124</v>
          </cell>
          <cell r="K723">
            <v>37.293369600139364</v>
          </cell>
          <cell r="M723">
            <v>12.88</v>
          </cell>
        </row>
        <row r="724">
          <cell r="G724" t="str">
            <v>Glass reinforced plastic marker post Type 7</v>
          </cell>
          <cell r="H724" t="str">
            <v>no</v>
          </cell>
          <cell r="I724">
            <v>35.614089332753124</v>
          </cell>
          <cell r="K724">
            <v>37.293369600139364</v>
          </cell>
          <cell r="M724">
            <v>12.88</v>
          </cell>
        </row>
        <row r="725">
          <cell r="G725" t="str">
            <v>Glass reinforced plastic marker post Type 8</v>
          </cell>
          <cell r="H725" t="str">
            <v>no</v>
          </cell>
          <cell r="I725">
            <v>33.84900286033281</v>
          </cell>
          <cell r="K725">
            <v>35.820213383122955</v>
          </cell>
          <cell r="M725">
            <v>12.88</v>
          </cell>
        </row>
        <row r="726">
          <cell r="G726" t="str">
            <v>Glass reinforced plastic marker post Type 9</v>
          </cell>
          <cell r="H726" t="str">
            <v>no</v>
          </cell>
          <cell r="I726">
            <v>34.860904020253123</v>
          </cell>
          <cell r="K726">
            <v>36.711954840998828</v>
          </cell>
        </row>
        <row r="727">
          <cell r="I727" t="str">
            <v/>
          </cell>
        </row>
        <row r="728">
          <cell r="G728" t="str">
            <v>&lt;Select&gt;</v>
          </cell>
          <cell r="I728" t="str">
            <v/>
          </cell>
        </row>
        <row r="729">
          <cell r="G729" t="str">
            <v>Permanent bollard internally illuminated</v>
          </cell>
          <cell r="H729" t="str">
            <v>no</v>
          </cell>
          <cell r="I729">
            <v>300.76650970934736</v>
          </cell>
          <cell r="K729">
            <v>305.9473481030725</v>
          </cell>
        </row>
        <row r="730">
          <cell r="I730" t="str">
            <v/>
          </cell>
        </row>
        <row r="731">
          <cell r="G731" t="str">
            <v>&lt;Select&gt;</v>
          </cell>
          <cell r="I731" t="str">
            <v/>
          </cell>
        </row>
        <row r="732">
          <cell r="G732" t="str">
            <v>Cored thermoplastic node marker 100 mm diameter</v>
          </cell>
          <cell r="H732" t="str">
            <v>no</v>
          </cell>
          <cell r="I732">
            <v>26.575186389728124</v>
          </cell>
          <cell r="K732">
            <v>27.265046826512737</v>
          </cell>
        </row>
        <row r="733">
          <cell r="I733" t="str">
            <v/>
          </cell>
        </row>
        <row r="734">
          <cell r="G734" t="str">
            <v>&lt;Select&gt;</v>
          </cell>
          <cell r="I734" t="str">
            <v/>
          </cell>
        </row>
        <row r="735">
          <cell r="G735" t="str">
            <v>Retroreflective traffic sign face, sign face not exceeding 0.25 square metres in area fixed to existing posts or lighting columns</v>
          </cell>
          <cell r="H735" t="str">
            <v>no</v>
          </cell>
          <cell r="I735">
            <v>54.815524307118395</v>
          </cell>
          <cell r="K735">
            <v>55.33393556949904</v>
          </cell>
        </row>
        <row r="736">
          <cell r="G736" t="str">
            <v>Retroreflective traffic sign face, sign face exceeding 5 square metres but not exceeding 6 square metres in area fixed to existing posts or lighting columns</v>
          </cell>
          <cell r="H736" t="str">
            <v>no</v>
          </cell>
          <cell r="I736">
            <v>792.42404543222187</v>
          </cell>
          <cell r="K736">
            <v>807.95907250860091</v>
          </cell>
        </row>
        <row r="737">
          <cell r="G737" t="str">
            <v>Non-retroreflective traffic sign face, sign face not exceeding 0.25 square metres in area fixed to existing posts or lighting columns</v>
          </cell>
          <cell r="H737" t="str">
            <v>no</v>
          </cell>
          <cell r="I737">
            <v>53.191786733369952</v>
          </cell>
          <cell r="K737">
            <v>53.712082352000614</v>
          </cell>
        </row>
        <row r="738">
          <cell r="G738" t="str">
            <v>Non-retroreflective traffic sign face, sign face exceeding 5 square metres but not exceeding 6 square metres in area fixed to existing posts or lighting columns</v>
          </cell>
          <cell r="H738" t="str">
            <v>no</v>
          </cell>
          <cell r="I738">
            <v>752.8758317091532</v>
          </cell>
          <cell r="K738">
            <v>765.96612200068284</v>
          </cell>
        </row>
        <row r="739">
          <cell r="G739" t="str">
            <v>Enhanced retroreflective traffic sign face, sign face exceeding 0.50 square metres but not exceeding 0.75 square metres in area fixed to existing posts or lighting columns</v>
          </cell>
          <cell r="H739" t="str">
            <v>no</v>
          </cell>
          <cell r="I739">
            <v>137.20226941715094</v>
          </cell>
          <cell r="K739">
            <v>141.18534098994292</v>
          </cell>
        </row>
        <row r="740">
          <cell r="G740" t="str">
            <v>Enhanced retroreflective traffic sign face, sign face exceeding 5 square metres but not exceeding 6 square metres in area fixed to existing posts or lighting columns</v>
          </cell>
          <cell r="H740" t="str">
            <v>no</v>
          </cell>
          <cell r="I740">
            <v>923.24119417974248</v>
          </cell>
          <cell r="K740">
            <v>943.62303450505965</v>
          </cell>
        </row>
        <row r="741">
          <cell r="I741" t="str">
            <v/>
          </cell>
        </row>
        <row r="742">
          <cell r="I742" t="str">
            <v/>
          </cell>
        </row>
        <row r="743">
          <cell r="I743" t="str">
            <v/>
          </cell>
        </row>
        <row r="744">
          <cell r="G744" t="str">
            <v>&lt;Select&gt;</v>
          </cell>
          <cell r="I744" t="str">
            <v/>
          </cell>
        </row>
        <row r="745">
          <cell r="I745" t="str">
            <v/>
          </cell>
        </row>
        <row r="746">
          <cell r="G746" t="str">
            <v>&lt;Select&gt;</v>
          </cell>
          <cell r="I746" t="str">
            <v/>
          </cell>
        </row>
        <row r="747">
          <cell r="G747" t="str">
            <v>Steel road lighting column of 8 metre nominal height with planted base and single bracket arm having a projection of 1.5m with a cut off luminaire incorporating a 250w SON-T+ lamp and lamp control gear</v>
          </cell>
          <cell r="H747" t="str">
            <v>no</v>
          </cell>
          <cell r="I747">
            <v>664.20142169480721</v>
          </cell>
          <cell r="K747">
            <v>670.43582760183119</v>
          </cell>
        </row>
        <row r="748">
          <cell r="G748" t="str">
            <v>Steel road lighting column of 8 metre nominal height with planted base and single bracket arm having a projection of 1.5m with a cut off luminaire incorporating a 400w SON-T+ lamp and lamp control gear</v>
          </cell>
          <cell r="H748" t="str">
            <v>no</v>
          </cell>
          <cell r="I748">
            <v>685.11567741330566</v>
          </cell>
          <cell r="K748">
            <v>691.47266276837729</v>
          </cell>
        </row>
        <row r="749">
          <cell r="G749" t="str">
            <v>Steel road lighting column of 8 metre nominal height with planted base and double bracket arm having a projection of 1.5m with a cut off luminaire incorporating a 250w SON-T+ lamp and lamp control gear</v>
          </cell>
          <cell r="H749" t="str">
            <v>no</v>
          </cell>
          <cell r="I749">
            <v>925.66837715005454</v>
          </cell>
          <cell r="K749">
            <v>937.17016972239662</v>
          </cell>
        </row>
        <row r="750">
          <cell r="G750" t="str">
            <v>Steel road lighting column of 8 metre nominal height with flange plate base and single bracket arm having a projection of 1.5m with a cut off luminaire incorporating a 250w SON-T+ lamp and lamp control gear</v>
          </cell>
          <cell r="H750" t="str">
            <v>no</v>
          </cell>
          <cell r="I750">
            <v>786.82819500083349</v>
          </cell>
          <cell r="K750">
            <v>820.5925862827861</v>
          </cell>
          <cell r="M750">
            <v>1111.03</v>
          </cell>
        </row>
        <row r="751">
          <cell r="G751" t="str">
            <v>Steel road lighting column of 8 metre nominal height with flange plate base and double bracket arm having a projection of 1.5m with a cut off luminaire incorporating a 250w SON-T+ lamp and lamp control gear</v>
          </cell>
          <cell r="H751" t="str">
            <v>no</v>
          </cell>
          <cell r="I751">
            <v>1170.8772824237199</v>
          </cell>
          <cell r="K751">
            <v>1197.543869585325</v>
          </cell>
          <cell r="M751">
            <v>1188.8499999999999</v>
          </cell>
        </row>
        <row r="752">
          <cell r="G752" t="str">
            <v>Steel road lighting column of 10 metre nominal height with planted base and single bracket arm having a projection of 1.5m with a cut off luminaire incorporating a 250w SON-T+ lamp and lamp control gear</v>
          </cell>
          <cell r="H752" t="str">
            <v>no</v>
          </cell>
          <cell r="I752">
            <v>685.10022855893737</v>
          </cell>
          <cell r="K752">
            <v>689.84754146770979</v>
          </cell>
          <cell r="O752">
            <v>319.03357332000002</v>
          </cell>
          <cell r="Q752">
            <v>315.66144852000002</v>
          </cell>
          <cell r="S752">
            <v>3.3721248000000004</v>
          </cell>
          <cell r="U752">
            <v>0</v>
          </cell>
          <cell r="W752">
            <v>496.28</v>
          </cell>
        </row>
        <row r="753">
          <cell r="G753" t="str">
            <v>Steel road lighting column of 10 metre nominal height with planted base and double bracket arm having a projection of 1.5m with a cut off luminaire incorporating a 250w SON-T+ lamp and lamp control gear</v>
          </cell>
          <cell r="H753" t="str">
            <v>no</v>
          </cell>
          <cell r="I753">
            <v>967.16273624842177</v>
          </cell>
          <cell r="K753">
            <v>971.8355129433977</v>
          </cell>
        </row>
        <row r="754">
          <cell r="G754" t="str">
            <v>Steel road lighting column of 10 metre nominal height with flange plate base and single bracket arm having a projection of 1.5m with a cut off luminaire incorporating a 250w SON-T+ lamp and lamp control gear</v>
          </cell>
          <cell r="H754" t="str">
            <v>no</v>
          </cell>
          <cell r="I754">
            <v>889.68870166012732</v>
          </cell>
          <cell r="K754">
            <v>924.90236769731928</v>
          </cell>
          <cell r="M754">
            <v>1218.05</v>
          </cell>
        </row>
        <row r="755">
          <cell r="G755" t="str">
            <v>Steel road lighting column of 10 metre nominal height with flange plate base and double bracket arm having a projection of 1.5m with a cut off luminaire incorporating a 250w SON-T+ lamp and lamp control gear</v>
          </cell>
          <cell r="H755" t="str">
            <v>no</v>
          </cell>
          <cell r="I755">
            <v>1122.5474272495858</v>
          </cell>
          <cell r="K755">
            <v>1151.9936849589601</v>
          </cell>
          <cell r="M755">
            <v>1295.8699999999999</v>
          </cell>
        </row>
        <row r="756">
          <cell r="G756" t="str">
            <v>Steel road lighting column of 12 metre nominal height with planted base and single bracket arm having a projection of 1.5m with a cut off luminaire incorporating a 250w SON-T+ lamp and lamp control gear</v>
          </cell>
          <cell r="H756" t="str">
            <v>no</v>
          </cell>
          <cell r="I756">
            <v>774.39883879715899</v>
          </cell>
          <cell r="K756">
            <v>777.58513623664919</v>
          </cell>
        </row>
        <row r="757">
          <cell r="G757" t="str">
            <v>Steel road lighting column of 12 metre nominal height with planted base and double bracket arm having a projection of 1.5m with a cut off luminaire incorporating a 250w SON-T+ lamp and lamp control gear</v>
          </cell>
          <cell r="H757" t="str">
            <v>no</v>
          </cell>
          <cell r="I757">
            <v>1047.0169683917397</v>
          </cell>
          <cell r="K757">
            <v>1052.0199042815441</v>
          </cell>
        </row>
        <row r="758">
          <cell r="G758" t="str">
            <v>Steel road lighting column of 12 metre nominal height with flange plate base and single bracket arm having a projection of 1.5m with a cut off luminaire incorporating a 250w SON-T+ lamp and lamp control gear</v>
          </cell>
          <cell r="H758" t="str">
            <v>no</v>
          </cell>
          <cell r="I758">
            <v>978.7073963293592</v>
          </cell>
          <cell r="K758">
            <v>1013.5146634288061</v>
          </cell>
          <cell r="M758">
            <v>1439.85</v>
          </cell>
        </row>
        <row r="759">
          <cell r="G759" t="str">
            <v>Steel road lighting column of 12 metre nominal height with flange plate base and double bracket arm having a projection of 1.5m with a cut off luminaire incorporating a 250w SON-T+ lamp and lamp control gear</v>
          </cell>
          <cell r="H759" t="str">
            <v>no</v>
          </cell>
          <cell r="I759">
            <v>1250.6316756525794</v>
          </cell>
          <cell r="K759">
            <v>1280.2219315841983</v>
          </cell>
          <cell r="M759">
            <v>1517.67</v>
          </cell>
        </row>
        <row r="760">
          <cell r="G760" t="str">
            <v>Steel road lighting column of 15 metre nominal height with planted base and single bracket arm having a projection of 1.5m with a cut off luminaire incorporating a 250w SON-T+ lamp and lamp control gear</v>
          </cell>
          <cell r="H760" t="str">
            <v>no</v>
          </cell>
          <cell r="I760">
            <v>1039.5273003942782</v>
          </cell>
          <cell r="K760">
            <v>1044.2037169933647</v>
          </cell>
        </row>
        <row r="761">
          <cell r="G761" t="str">
            <v>Steel road lighting column of 15 metre nominal height with planted base and double bracket arm having a projection of 1.5m with a cut off luminaire incorporating a 250w SON-T+ lamp and lamp control gear</v>
          </cell>
          <cell r="H761" t="str">
            <v>no</v>
          </cell>
          <cell r="I761">
            <v>1342.5460585313772</v>
          </cell>
          <cell r="K761">
            <v>1348.1598429149042</v>
          </cell>
        </row>
        <row r="762">
          <cell r="G762" t="str">
            <v>Steel road lighting column of 15 metre nominal height with flange plate base and single bracket arm having a projection of 1.5m with a cut off luminaire incorporating a 250w SON-T+ lamp and lamp control gear</v>
          </cell>
          <cell r="H762" t="str">
            <v>no</v>
          </cell>
          <cell r="I762">
            <v>1284.584386807787</v>
          </cell>
          <cell r="K762">
            <v>1313.748778914128</v>
          </cell>
          <cell r="M762">
            <v>1805.17</v>
          </cell>
        </row>
        <row r="763">
          <cell r="G763" t="str">
            <v>Steel road lighting column of 15 metre nominal height with flange plate base and double bracket arm having a projection of 1.5m with a cut off luminaire incorporating a 250w SON-T+ lamp and lamp control gear</v>
          </cell>
          <cell r="H763" t="str">
            <v>no</v>
          </cell>
          <cell r="I763">
            <v>1565.6169549046554</v>
          </cell>
          <cell r="K763">
            <v>1591.4657809411485</v>
          </cell>
          <cell r="M763">
            <v>1883.17</v>
          </cell>
        </row>
        <row r="764">
          <cell r="G764" t="str">
            <v>Steel road lighting column of 20 metre nominal height with planted base and double bracket arm having a projection of 1.5m with a cut off luminaire incorporating a 400w SON-T+ lamp and lamp control gear</v>
          </cell>
          <cell r="H764" t="str">
            <v>no</v>
          </cell>
          <cell r="I764">
            <v>2246.4768567579567</v>
          </cell>
          <cell r="K764">
            <v>2255.9521648949776</v>
          </cell>
        </row>
        <row r="765">
          <cell r="G765" t="str">
            <v>Steel road lighting column of 20 metre nominal height with flange plate base and single bracket arm having a projection of 1.5m with a cut off luminaire incorporating a 250w SON-T+ lamp and lamp control gear</v>
          </cell>
          <cell r="H765" t="str">
            <v>no</v>
          </cell>
          <cell r="I765">
            <v>2381.4904705013564</v>
          </cell>
          <cell r="K765">
            <v>2411.2169031225849</v>
          </cell>
        </row>
        <row r="766">
          <cell r="G766" t="str">
            <v>EO provision of 400w SON-T lamp in lieu of 250w SON-T lamp</v>
          </cell>
          <cell r="H766" t="str">
            <v>no</v>
          </cell>
          <cell r="I766">
            <v>20.686251271947029</v>
          </cell>
          <cell r="K766">
            <v>20.782863904304943</v>
          </cell>
        </row>
        <row r="767">
          <cell r="G767" t="str">
            <v>EO provision of 150w SON-T lamp in lieu of 250w SON-T lamp</v>
          </cell>
          <cell r="H767" t="str">
            <v>no</v>
          </cell>
          <cell r="I767">
            <v>2.7986759907843752</v>
          </cell>
          <cell r="K767">
            <v>7.4310572028741486</v>
          </cell>
        </row>
        <row r="768">
          <cell r="G768" t="str">
            <v xml:space="preserve">EO provision of ecu in lieu of standard control rear for 150w SON-T </v>
          </cell>
          <cell r="H768" t="str">
            <v>no</v>
          </cell>
          <cell r="I768">
            <v>114.05147193829767</v>
          </cell>
          <cell r="K768">
            <v>115.60498193801625</v>
          </cell>
        </row>
        <row r="769">
          <cell r="G769" t="str">
            <v xml:space="preserve">EO provision of ecu in lieu of standard control rear for 250w SON-T </v>
          </cell>
          <cell r="H769" t="str">
            <v>no</v>
          </cell>
          <cell r="I769">
            <v>114.05147193829767</v>
          </cell>
          <cell r="K769">
            <v>115.60498193801625</v>
          </cell>
        </row>
        <row r="770">
          <cell r="G770" t="str">
            <v xml:space="preserve">EO provision of ecu in lieu of standard control rear for 400w SON-T </v>
          </cell>
          <cell r="H770" t="str">
            <v>no</v>
          </cell>
          <cell r="I770">
            <v>111.22175318829767</v>
          </cell>
          <cell r="K770">
            <v>113.61572890376193</v>
          </cell>
        </row>
        <row r="771">
          <cell r="I771" t="str">
            <v/>
          </cell>
        </row>
        <row r="772">
          <cell r="I772" t="str">
            <v/>
          </cell>
        </row>
        <row r="773">
          <cell r="I773" t="str">
            <v/>
          </cell>
        </row>
        <row r="774">
          <cell r="G774" t="str">
            <v>&lt;Select&gt;</v>
          </cell>
          <cell r="I774" t="str">
            <v/>
          </cell>
        </row>
        <row r="775">
          <cell r="I775" t="str">
            <v/>
          </cell>
        </row>
        <row r="776">
          <cell r="G776" t="str">
            <v>&lt;Select&gt;</v>
          </cell>
          <cell r="I776" t="str">
            <v/>
          </cell>
        </row>
        <row r="777">
          <cell r="G777" t="str">
            <v>Locating buried road lighting and traffic signs cable in carriageways, footways and bridge decks</v>
          </cell>
          <cell r="H777" t="str">
            <v>m</v>
          </cell>
          <cell r="I777">
            <v>2.2900097401650941</v>
          </cell>
          <cell r="K777">
            <v>2.3361436247438609</v>
          </cell>
          <cell r="M777">
            <v>24.66</v>
          </cell>
        </row>
        <row r="778">
          <cell r="G778" t="str">
            <v>Locating buried road lighting and traffic signs cable in verges, embankments and cuttings</v>
          </cell>
          <cell r="H778" t="str">
            <v>m</v>
          </cell>
          <cell r="I778">
            <v>2.219159740165094</v>
          </cell>
          <cell r="K778">
            <v>2.2721271543272805</v>
          </cell>
          <cell r="M778">
            <v>19.73</v>
          </cell>
        </row>
        <row r="779">
          <cell r="G779" t="str">
            <v>Locating buried road lighting and traffic signs cable in central reserves</v>
          </cell>
          <cell r="H779" t="str">
            <v>m</v>
          </cell>
          <cell r="I779">
            <v>2.2900097401650941</v>
          </cell>
          <cell r="K779">
            <v>2.3361436247438609</v>
          </cell>
          <cell r="M779">
            <v>19.73</v>
          </cell>
        </row>
        <row r="780">
          <cell r="G780" t="str">
            <v>Locating buried road lighting and traffic signs cable in trench</v>
          </cell>
          <cell r="H780" t="str">
            <v>m</v>
          </cell>
          <cell r="I780">
            <v>2.268175708915094</v>
          </cell>
          <cell r="K780">
            <v>2.3237744933390734</v>
          </cell>
        </row>
        <row r="781">
          <cell r="I781" t="str">
            <v/>
          </cell>
        </row>
        <row r="782">
          <cell r="G782" t="str">
            <v>&lt;Select&gt;</v>
          </cell>
          <cell r="I782" t="str">
            <v/>
          </cell>
        </row>
        <row r="783">
          <cell r="G783" t="str">
            <v>Trench for cable not exceeding 300mm wide in depth not exceeding 1.5 metres in carriageways, footways, bridge decks and paved areas</v>
          </cell>
          <cell r="H783" t="str">
            <v>m</v>
          </cell>
          <cell r="I783">
            <v>32.098232923503375</v>
          </cell>
          <cell r="K783">
            <v>33.715467749753515</v>
          </cell>
        </row>
        <row r="784">
          <cell r="G784" t="str">
            <v>Trench for cable not exceeding 300mm wide in depth not exceeding 1.5 metres in verges and central reserves</v>
          </cell>
          <cell r="H784" t="str">
            <v>m</v>
          </cell>
          <cell r="I784">
            <v>14.301846137262</v>
          </cell>
          <cell r="K784">
            <v>14.470962018938748</v>
          </cell>
        </row>
        <row r="785">
          <cell r="G785" t="str">
            <v>Trench for cable not exceeding 300mm wide in depth not exceeding 1.5 metres in side slopes of cuttings or side slopes of embankments</v>
          </cell>
          <cell r="H785" t="str">
            <v>m</v>
          </cell>
          <cell r="I785">
            <v>18.724835265439751</v>
          </cell>
          <cell r="K785">
            <v>19.427404231943708</v>
          </cell>
        </row>
        <row r="786">
          <cell r="G786" t="str">
            <v>Trench for cable exceeding 300mm but not exceeding 450mm wide in depth not exceeding 1.5 metres in carriageways, footways, bridge decks and paved areas</v>
          </cell>
          <cell r="H786" t="str">
            <v>m</v>
          </cell>
          <cell r="I786">
            <v>39.918186616135444</v>
          </cell>
          <cell r="K786">
            <v>43.778910078990776</v>
          </cell>
        </row>
        <row r="787">
          <cell r="G787" t="str">
            <v>Trench for cable exceeding 300mm but not exceeding 450mm wide in depth not exceeding 1.5 metres in verges and central reserves</v>
          </cell>
          <cell r="H787" t="str">
            <v>m</v>
          </cell>
          <cell r="I787">
            <v>17.014396728861161</v>
          </cell>
          <cell r="K787">
            <v>17.331678531573836</v>
          </cell>
          <cell r="M787">
            <v>14.8</v>
          </cell>
        </row>
        <row r="788">
          <cell r="G788" t="str">
            <v>Trench for cable exceeding 300mm but not exceeding 450mm wide in depth not exceeding 1.5 metres in side slopes of cuttings or side slopes of embankments</v>
          </cell>
          <cell r="H788" t="str">
            <v>m</v>
          </cell>
          <cell r="I788">
            <v>20.833284186454247</v>
          </cell>
          <cell r="K788">
            <v>21.638838533799547</v>
          </cell>
        </row>
        <row r="789">
          <cell r="G789" t="str">
            <v>Trench Type A for duct not exceeding 300mm wide in depth not exceeding 1.5 metres in carriageways, footways, bridge decks and paved areas</v>
          </cell>
          <cell r="H789" t="str">
            <v>m</v>
          </cell>
          <cell r="I789">
            <v>180.46918426809813</v>
          </cell>
          <cell r="K789">
            <v>208.13756575125137</v>
          </cell>
        </row>
        <row r="790">
          <cell r="G790" t="str">
            <v>Trench Type B for duct not exceeding 300mm wide in depth not exceeding 1.5 metres in carriageways, footways, bridge decks and paved areas</v>
          </cell>
          <cell r="H790" t="str">
            <v>m</v>
          </cell>
          <cell r="I790">
            <v>227.6476956971579</v>
          </cell>
          <cell r="K790">
            <v>264.46910956701726</v>
          </cell>
        </row>
        <row r="791">
          <cell r="G791" t="str">
            <v>Trench for duct not exceeding 300mm wide in depth not exceeding 1.5 metres in verges and central reserves</v>
          </cell>
          <cell r="H791" t="str">
            <v>m</v>
          </cell>
          <cell r="I791">
            <v>20.252577787102876</v>
          </cell>
          <cell r="K791">
            <v>22.410576965270728</v>
          </cell>
        </row>
        <row r="792">
          <cell r="G792" t="str">
            <v>Trench for duct not exceeding 300mm wide in depth not exceeding 1.5 metres in side slopes of cuttings or side slopes of embankments</v>
          </cell>
          <cell r="H792" t="str">
            <v>m</v>
          </cell>
          <cell r="I792">
            <v>18.633137349700377</v>
          </cell>
          <cell r="K792">
            <v>19.135260429593341</v>
          </cell>
        </row>
        <row r="793">
          <cell r="G793" t="str">
            <v>Trench Type A for duct exceeding 300mm but not exceeding 450mm wide in depth not exceeding 1.5 metres in carriageways, footways, bridge decks and paved areas</v>
          </cell>
          <cell r="H793" t="str">
            <v>m</v>
          </cell>
          <cell r="I793">
            <v>204.95406407198686</v>
          </cell>
          <cell r="K793">
            <v>236.16863847409007</v>
          </cell>
        </row>
        <row r="794">
          <cell r="G794" t="str">
            <v>Trench for duct Type B exceeding 300mm but not exceeding 450mm wide in depth not exceeding 1.5 metres in carriageways, footways, bridge decks and paved areas</v>
          </cell>
          <cell r="H794" t="str">
            <v>m</v>
          </cell>
          <cell r="I794">
            <v>244.99527049960159</v>
          </cell>
          <cell r="K794">
            <v>282.63728488913659</v>
          </cell>
        </row>
        <row r="795">
          <cell r="G795" t="str">
            <v>Trench for duct exceeding 300mm but not exceeding 450mm wide in depth not exceeding 1.5 metres in verges and central reserves</v>
          </cell>
          <cell r="H795" t="str">
            <v>m</v>
          </cell>
          <cell r="I795">
            <v>15.276486877933564</v>
          </cell>
          <cell r="K795">
            <v>15.563708030005994</v>
          </cell>
        </row>
        <row r="796">
          <cell r="G796" t="str">
            <v>Trench for duct exceeding 300mm but not exceeding 450mm wide in depth not exceeding 1.5 metres in side slopes of cuttings or side slopes of embankments</v>
          </cell>
          <cell r="H796" t="str">
            <v>m</v>
          </cell>
          <cell r="I796">
            <v>20.398517268388062</v>
          </cell>
          <cell r="K796">
            <v>20.921189882088754</v>
          </cell>
        </row>
        <row r="797">
          <cell r="I797" t="str">
            <v/>
          </cell>
        </row>
        <row r="798">
          <cell r="G798" t="str">
            <v>&lt;Select&gt;</v>
          </cell>
          <cell r="I798" t="str">
            <v/>
          </cell>
        </row>
        <row r="799">
          <cell r="G799" t="str">
            <v>6mm2 2 core XPLE/SWA/MDPE cable with copper conductors in trench depth not exceeding 1.5 metres.</v>
          </cell>
          <cell r="H799" t="str">
            <v>m</v>
          </cell>
          <cell r="I799">
            <v>2.8654725945015445</v>
          </cell>
          <cell r="K799">
            <v>2.8940017414729509</v>
          </cell>
        </row>
        <row r="800">
          <cell r="G800" t="str">
            <v>10mm2 2 core XPLE/SWA/MDPE cable with copper conductors in trench depth not exceeding 1.5 metres.</v>
          </cell>
          <cell r="H800" t="str">
            <v>m</v>
          </cell>
          <cell r="I800">
            <v>3.7073088730275066</v>
          </cell>
          <cell r="K800">
            <v>3.7591401028345133</v>
          </cell>
        </row>
        <row r="801">
          <cell r="G801" t="str">
            <v>10mm2 4 core XPLE/SWA/MDPE cable with copper conductors in trench depth not exceeding 1.5 metres.</v>
          </cell>
          <cell r="H801" t="str">
            <v>m</v>
          </cell>
          <cell r="I801">
            <v>5.4517475467379812</v>
          </cell>
          <cell r="K801">
            <v>5.4965328356007026</v>
          </cell>
        </row>
        <row r="802">
          <cell r="G802" t="str">
            <v>16mm2 2 core XPLE/SWA/MDPE cable with copper conductors in trench depth not exceeding 1.5 metres.</v>
          </cell>
          <cell r="H802" t="str">
            <v>m</v>
          </cell>
          <cell r="I802">
            <v>4.7712927450403795</v>
          </cell>
          <cell r="K802">
            <v>4.8258053711455897</v>
          </cell>
        </row>
        <row r="803">
          <cell r="G803" t="str">
            <v>16mm2 4 core XPLE/SWA/MDPE cable with copper conductors in trench depth not exceeding 1.5 metres.</v>
          </cell>
          <cell r="H803" t="str">
            <v>m</v>
          </cell>
          <cell r="I803">
            <v>7.3305065557826916</v>
          </cell>
          <cell r="K803">
            <v>7.3698176291648103</v>
          </cell>
        </row>
        <row r="804">
          <cell r="G804" t="str">
            <v>One number 100mm diameter upvc duct in trench depth not exceeding 1.5metres.</v>
          </cell>
          <cell r="H804" t="str">
            <v>m</v>
          </cell>
          <cell r="I804">
            <v>4.0548851546819353</v>
          </cell>
          <cell r="K804">
            <v>4.8314704706055451</v>
          </cell>
        </row>
        <row r="805">
          <cell r="G805" t="str">
            <v>Two number 100mm diameter upvc ducts in trench depth not exceeding 1.5metres.</v>
          </cell>
          <cell r="H805" t="str">
            <v>m</v>
          </cell>
          <cell r="I805">
            <v>5.9984441716713963</v>
          </cell>
          <cell r="K805">
            <v>6.4191085927519946</v>
          </cell>
        </row>
        <row r="806">
          <cell r="I806" t="str">
            <v/>
          </cell>
        </row>
        <row r="807">
          <cell r="G807" t="str">
            <v>&lt;Select&gt;</v>
          </cell>
          <cell r="I807" t="str">
            <v/>
          </cell>
        </row>
        <row r="808">
          <cell r="G808" t="str">
            <v>Single way cut out termination to 6mm2 2 core XPLE/SWA/MDP cable in lit sign unit</v>
          </cell>
          <cell r="H808" t="str">
            <v>no</v>
          </cell>
          <cell r="I808">
            <v>72.723442104195769</v>
          </cell>
          <cell r="K808">
            <v>79.098264894245034</v>
          </cell>
        </row>
        <row r="809">
          <cell r="G809" t="str">
            <v>Single way cut out termination to 6mm2 2 core XPLE/SWA/MDP cable in road lighting column</v>
          </cell>
          <cell r="H809" t="str">
            <v>no</v>
          </cell>
          <cell r="I809">
            <v>70.953812604195775</v>
          </cell>
          <cell r="K809">
            <v>76.897054957935978</v>
          </cell>
        </row>
        <row r="810">
          <cell r="G810" t="str">
            <v>Single way cut out termination to 10mm2 2 core XPLE/SWA/MDP cable in lit sign unit</v>
          </cell>
          <cell r="H810" t="str">
            <v>no</v>
          </cell>
          <cell r="I810">
            <v>70.953812604195775</v>
          </cell>
          <cell r="K810">
            <v>76.897054957935978</v>
          </cell>
        </row>
        <row r="811">
          <cell r="G811" t="str">
            <v>Single way cut out termination to 10mm2 2 core XPLE/SWA/MDP cable in road lighting column</v>
          </cell>
          <cell r="H811" t="str">
            <v>no</v>
          </cell>
          <cell r="I811">
            <v>70.953812604195775</v>
          </cell>
          <cell r="K811">
            <v>76.897054957935978</v>
          </cell>
        </row>
        <row r="812">
          <cell r="G812" t="str">
            <v>Single way cut out termination to 10mm2 4 core XPLE/SWA/MDP cable in lit sign unit</v>
          </cell>
          <cell r="H812" t="str">
            <v>no</v>
          </cell>
          <cell r="I812">
            <v>81.343697508131669</v>
          </cell>
          <cell r="K812">
            <v>89.012597423228712</v>
          </cell>
        </row>
        <row r="813">
          <cell r="G813" t="str">
            <v>Single way cut out termination to 10mm2 4 core XPLE/SWA/MDP cable in road lighting column</v>
          </cell>
          <cell r="H813" t="str">
            <v>no</v>
          </cell>
          <cell r="I813">
            <v>81.789235008131669</v>
          </cell>
          <cell r="K813">
            <v>89.128430752249486</v>
          </cell>
        </row>
        <row r="814">
          <cell r="G814" t="str">
            <v>Single way cut out termination to 16mm2 2 core XPLE/SWA/MDP cable in lit sign unit</v>
          </cell>
          <cell r="H814" t="str">
            <v>no</v>
          </cell>
          <cell r="I814">
            <v>82.178246476881668</v>
          </cell>
          <cell r="K814">
            <v>89.216913358066989</v>
          </cell>
        </row>
        <row r="815">
          <cell r="G815" t="str">
            <v>Single way cut out termination to 16mm2 2 core XPLE/SWA/MDP cable in road lighting column</v>
          </cell>
          <cell r="H815" t="str">
            <v>no</v>
          </cell>
          <cell r="I815">
            <v>82.178246476881668</v>
          </cell>
          <cell r="K815">
            <v>89.216913358066989</v>
          </cell>
        </row>
        <row r="816">
          <cell r="G816" t="str">
            <v>Single way cut out termination to 16mm2 4 core XPLE/SWA/MDP cable in lit sign unit</v>
          </cell>
          <cell r="H816" t="str">
            <v>no</v>
          </cell>
          <cell r="I816">
            <v>86.8270593743988</v>
          </cell>
          <cell r="K816">
            <v>94.566669610625212</v>
          </cell>
        </row>
        <row r="817">
          <cell r="G817" t="str">
            <v>Single way cut out termination to 16mm2 4 core XPLE/SWA/MDP cable in road lighting column</v>
          </cell>
          <cell r="H817" t="str">
            <v>no</v>
          </cell>
          <cell r="I817">
            <v>87.451084374398803</v>
          </cell>
          <cell r="K817">
            <v>94.747536260370083</v>
          </cell>
        </row>
        <row r="818">
          <cell r="G818" t="str">
            <v>Two way cut out termination to 6mm2 2 core XPLE/SWA/MDP cable in lit sign unit</v>
          </cell>
          <cell r="H818" t="str">
            <v>no</v>
          </cell>
          <cell r="I818">
            <v>79.333751118230651</v>
          </cell>
          <cell r="K818">
            <v>84.965510033790338</v>
          </cell>
        </row>
        <row r="819">
          <cell r="G819" t="str">
            <v>Two way cut out termination to 6mm2 2 core XPLE/SWA/MDP cable in road lighting column</v>
          </cell>
          <cell r="H819" t="str">
            <v>no</v>
          </cell>
          <cell r="I819">
            <v>79.333751118230651</v>
          </cell>
          <cell r="K819">
            <v>84.965510033790338</v>
          </cell>
        </row>
        <row r="820">
          <cell r="G820" t="str">
            <v>Two way cut out termination to 10mm2 2 core XPLE/SWA/MDP cable in lit sign unit</v>
          </cell>
          <cell r="H820" t="str">
            <v>no</v>
          </cell>
          <cell r="I820">
            <v>79.333751118230651</v>
          </cell>
          <cell r="K820">
            <v>84.965510033790338</v>
          </cell>
        </row>
        <row r="821">
          <cell r="G821" t="str">
            <v>Two way cut out termination to 10mm2 2 core XPLE/SWA/MDP cable in road lighting column</v>
          </cell>
          <cell r="H821" t="str">
            <v>no</v>
          </cell>
          <cell r="I821">
            <v>79.333751118230651</v>
          </cell>
          <cell r="K821">
            <v>84.965510033790338</v>
          </cell>
        </row>
        <row r="822">
          <cell r="G822" t="str">
            <v>Two way cut out termination to 10mm2 4 core XPLE/SWA/MDP cable in lit sign unit</v>
          </cell>
          <cell r="H822" t="str">
            <v>no</v>
          </cell>
          <cell r="I822">
            <v>87.961230280648806</v>
          </cell>
          <cell r="K822">
            <v>94.836869737173146</v>
          </cell>
        </row>
        <row r="823">
          <cell r="G823" t="str">
            <v>Two way cut out termination to 10mm2 4 core XPLE/SWA/MDP cable in road lighting column</v>
          </cell>
          <cell r="H823" t="str">
            <v>no</v>
          </cell>
          <cell r="I823">
            <v>87.961230280648806</v>
          </cell>
          <cell r="K823">
            <v>94.836869737173146</v>
          </cell>
        </row>
        <row r="824">
          <cell r="G824" t="str">
            <v>Two way cut out termination to 16mm2 2 core XPLE/SWA/MDP cable in lit sign unit</v>
          </cell>
          <cell r="H824" t="str">
            <v>no</v>
          </cell>
          <cell r="I824">
            <v>88.897267780648804</v>
          </cell>
          <cell r="K824">
            <v>95.168666150218783</v>
          </cell>
        </row>
        <row r="825">
          <cell r="G825" t="str">
            <v>Two way cut out termination to 16mm2 2 core XPLE/SWA/MDP cable in road lighting column</v>
          </cell>
          <cell r="H825" t="str">
            <v>no</v>
          </cell>
          <cell r="I825">
            <v>88.897267780648804</v>
          </cell>
          <cell r="K825">
            <v>95.168666150218783</v>
          </cell>
        </row>
        <row r="826">
          <cell r="G826" t="str">
            <v>Two way cut out termination to 16mm2 4 core XPLE/SWA/MDP cable in lit sign unit</v>
          </cell>
          <cell r="H826" t="str">
            <v>no</v>
          </cell>
          <cell r="I826">
            <v>93.51242483058418</v>
          </cell>
          <cell r="K826">
            <v>100.44277197851041</v>
          </cell>
        </row>
        <row r="827">
          <cell r="G827" t="str">
            <v>Two way cut out termination to 16mm2 4 core XPLE/SWA/MDP cable in road lighting column</v>
          </cell>
          <cell r="H827" t="str">
            <v>no</v>
          </cell>
          <cell r="I827">
            <v>93.51242483058418</v>
          </cell>
          <cell r="K827">
            <v>100.44277197851041</v>
          </cell>
        </row>
        <row r="828">
          <cell r="G828" t="str">
            <v>Three way cut out termination to 6mm2 2 core XPLE/SWA/MDP cable in lit sign unit</v>
          </cell>
          <cell r="H828" t="str">
            <v>no</v>
          </cell>
          <cell r="I828">
            <v>75.684039214918187</v>
          </cell>
          <cell r="K828">
            <v>82.872022250026603</v>
          </cell>
        </row>
        <row r="829">
          <cell r="G829" t="str">
            <v>Three way cut out termination to 6mm2 2 core XPLE/SWA/MDP cable in road lighting column</v>
          </cell>
          <cell r="H829" t="str">
            <v>no</v>
          </cell>
          <cell r="I829">
            <v>75.684039214918187</v>
          </cell>
          <cell r="K829">
            <v>82.872022250026603</v>
          </cell>
        </row>
        <row r="830">
          <cell r="G830" t="str">
            <v>Three way cut out termination to 10mm2 2 core XPLE/SWA/MDP cable in lit sign unit</v>
          </cell>
          <cell r="H830" t="str">
            <v>no</v>
          </cell>
          <cell r="I830">
            <v>76.505752339918189</v>
          </cell>
          <cell r="K830">
            <v>83.164097595448581</v>
          </cell>
        </row>
        <row r="831">
          <cell r="G831" t="str">
            <v>Three way cut out termination to 10mm2 2 core XPLE/SWA/MDP cable in road lighting column</v>
          </cell>
          <cell r="H831" t="str">
            <v>no</v>
          </cell>
          <cell r="I831">
            <v>76.505752339918189</v>
          </cell>
          <cell r="K831">
            <v>83.164097595448581</v>
          </cell>
        </row>
        <row r="832">
          <cell r="G832" t="str">
            <v>Three way cut out termination to 10mm2 4 core XPLE/SWA/MDP cable in lit sign unit</v>
          </cell>
          <cell r="H832" t="str">
            <v>no</v>
          </cell>
          <cell r="I832">
            <v>81.816499471913986</v>
          </cell>
          <cell r="K832">
            <v>89.681877678398038</v>
          </cell>
        </row>
        <row r="833">
          <cell r="G833" t="str">
            <v>Three way cut out termination to 10mm2 4 core XPLE/SWA/MDP cable in road lighting column</v>
          </cell>
          <cell r="H833" t="str">
            <v>no</v>
          </cell>
          <cell r="I833">
            <v>81.816499471913986</v>
          </cell>
          <cell r="K833">
            <v>89.681877678398038</v>
          </cell>
        </row>
        <row r="834">
          <cell r="G834" t="str">
            <v>Three way cut out termination to 16mm2 2 core XPLE/SWA/MDP cable in lit sign unit</v>
          </cell>
          <cell r="H834" t="str">
            <v>no</v>
          </cell>
          <cell r="I834">
            <v>84.546355350158407</v>
          </cell>
          <cell r="K834">
            <v>93.042597140008212</v>
          </cell>
        </row>
        <row r="835">
          <cell r="G835" t="str">
            <v>Three way cut out termination to 16mm2 2 core XPLE/SWA/MDP cable in road lighting column</v>
          </cell>
          <cell r="H835" t="str">
            <v>no</v>
          </cell>
          <cell r="I835">
            <v>87.465987975158413</v>
          </cell>
          <cell r="K835">
            <v>94.324324495710471</v>
          </cell>
        </row>
        <row r="836">
          <cell r="G836" t="str">
            <v>Three way cut out termination to 16mm2 4 core XPLE/SWA/MDP cable in lit sign unit</v>
          </cell>
          <cell r="H836" t="str">
            <v>no</v>
          </cell>
          <cell r="I836">
            <v>91.178129268807879</v>
          </cell>
          <cell r="K836">
            <v>98.848466832622051</v>
          </cell>
        </row>
        <row r="837">
          <cell r="G837" t="str">
            <v>Three way cut out termination to 16mm2 4 core XPLE/SWA/MDP cable in road lighting column</v>
          </cell>
          <cell r="H837" t="str">
            <v>no</v>
          </cell>
          <cell r="I837">
            <v>91.178129268807879</v>
          </cell>
          <cell r="K837">
            <v>98.848466832622051</v>
          </cell>
        </row>
        <row r="838">
          <cell r="I838" t="str">
            <v/>
          </cell>
        </row>
        <row r="839">
          <cell r="G839" t="str">
            <v>&lt;Select&gt;</v>
          </cell>
          <cell r="I839" t="str">
            <v/>
          </cell>
        </row>
        <row r="840">
          <cell r="G840" t="str">
            <v>Earth electrodes.</v>
          </cell>
          <cell r="H840" t="str">
            <v>no</v>
          </cell>
          <cell r="I840">
            <v>141.1766330325695</v>
          </cell>
          <cell r="K840">
            <v>142.71454041065945</v>
          </cell>
          <cell r="M840">
            <v>330.63</v>
          </cell>
        </row>
        <row r="841">
          <cell r="I841" t="str">
            <v/>
          </cell>
        </row>
        <row r="842">
          <cell r="G842" t="str">
            <v>&lt;Select&gt;</v>
          </cell>
          <cell r="I842" t="str">
            <v/>
          </cell>
        </row>
        <row r="843">
          <cell r="G843" t="str">
            <v>Brick chamber Type A with Class B 125 cover and frame depth to uppermost surface of base slab not exceeding 1 metre.</v>
          </cell>
          <cell r="H843" t="str">
            <v>no</v>
          </cell>
          <cell r="I843">
            <v>1140.1745262866657</v>
          </cell>
          <cell r="K843">
            <v>1202.4197240327542</v>
          </cell>
        </row>
        <row r="844">
          <cell r="G844" t="str">
            <v>Brick chamber Type A with Class B 125 cover and frame depth to uppermost surface of base slab exceeding 1 metre but not exceeding 2 metres.</v>
          </cell>
          <cell r="H844" t="str">
            <v>no</v>
          </cell>
          <cell r="I844">
            <v>1357.889952665666</v>
          </cell>
          <cell r="K844">
            <v>1409.821900977636</v>
          </cell>
        </row>
        <row r="845">
          <cell r="G845" t="str">
            <v>Brick chamber Type A with Class C 250 cover and frame depth to uppermost surface of base slab not exceeding 1 metre.</v>
          </cell>
          <cell r="H845" t="str">
            <v>no</v>
          </cell>
          <cell r="I845">
            <v>1204.9799155423204</v>
          </cell>
          <cell r="K845">
            <v>1258.5224955948715</v>
          </cell>
        </row>
        <row r="846">
          <cell r="G846" t="str">
            <v>Brick chamber Type A with Class C 250 cover and frame depth to uppermost surface of base slab exceeding 1 metre but not exceeding 2 metres.</v>
          </cell>
          <cell r="H846" t="str">
            <v>no</v>
          </cell>
          <cell r="I846">
            <v>1422.7441732129596</v>
          </cell>
          <cell r="K846">
            <v>1468.2706934911514</v>
          </cell>
        </row>
        <row r="847">
          <cell r="G847" t="str">
            <v>Brick chamber Type A with Class D 400 cover and frame depth to uppermost surface of base slab not exceeding 1 metre.</v>
          </cell>
          <cell r="H847" t="str">
            <v>no</v>
          </cell>
          <cell r="I847">
            <v>1228.268307959614</v>
          </cell>
          <cell r="K847">
            <v>1298.0040729303182</v>
          </cell>
        </row>
        <row r="848">
          <cell r="G848" t="str">
            <v>Brick chamber Type A with Class D 400 cover and frame depth to uppermost surface of base slab exceeding 1 metre but not exceeding 2 metres.</v>
          </cell>
          <cell r="H848" t="str">
            <v>no</v>
          </cell>
          <cell r="I848">
            <v>1445.9946077786142</v>
          </cell>
          <cell r="K848">
            <v>1504.6938361222599</v>
          </cell>
        </row>
        <row r="849">
          <cell r="G849" t="str">
            <v>Brick chamber Type B with Class B 125 cover and frame depth to uppermost surface of base slab not exceeding 1 metre.</v>
          </cell>
          <cell r="H849" t="str">
            <v>no</v>
          </cell>
          <cell r="I849">
            <v>624.95609978437142</v>
          </cell>
          <cell r="K849">
            <v>706.19531896450167</v>
          </cell>
        </row>
        <row r="850">
          <cell r="G850" t="str">
            <v>Brick chamber Type B with Class B 125 cover and frame depth to uppermost surface of base slab exceeding 1 metre but not exceeding 2 metres.</v>
          </cell>
          <cell r="H850" t="str">
            <v>no</v>
          </cell>
          <cell r="I850">
            <v>773.67154052364049</v>
          </cell>
          <cell r="K850">
            <v>855.54787729590214</v>
          </cell>
        </row>
        <row r="851">
          <cell r="G851" t="str">
            <v>Brick chamber Type B with Class C 250 cover and frame depth to uppermost surface of base slab not exceeding 1 metre.</v>
          </cell>
          <cell r="H851" t="str">
            <v>no</v>
          </cell>
          <cell r="I851">
            <v>668.01779501166527</v>
          </cell>
          <cell r="K851">
            <v>742.90312223153853</v>
          </cell>
        </row>
        <row r="852">
          <cell r="G852" t="str">
            <v>Brick chamber Type B with Class C 250 cover and frame depth to uppermost surface of base slab exceeding 1 metre but not exceeding 2 metres.</v>
          </cell>
          <cell r="H852" t="str">
            <v>no</v>
          </cell>
          <cell r="I852">
            <v>816.72515103093428</v>
          </cell>
          <cell r="K852">
            <v>892.01357046717669</v>
          </cell>
        </row>
        <row r="853">
          <cell r="G853" t="str">
            <v>Brick chamber Type B with Class D 400 cover and frame depth to uppermost surface of base slab not exceeding 1 metre.</v>
          </cell>
          <cell r="H853" t="str">
            <v>no</v>
          </cell>
          <cell r="I853">
            <v>709.91007498731983</v>
          </cell>
          <cell r="K853">
            <v>780.6695843328315</v>
          </cell>
        </row>
        <row r="854">
          <cell r="G854" t="str">
            <v>Brick chamber Type C with Class B 125 cover and frame depth to uppermost surface of base slab not exceeding 1 metre.</v>
          </cell>
          <cell r="H854" t="str">
            <v>no</v>
          </cell>
          <cell r="I854">
            <v>515.47473850738311</v>
          </cell>
          <cell r="K854">
            <v>680.76132566570129</v>
          </cell>
        </row>
        <row r="855">
          <cell r="I855" t="str">
            <v/>
          </cell>
        </row>
        <row r="856">
          <cell r="I856" t="str">
            <v/>
          </cell>
        </row>
        <row r="857">
          <cell r="I857" t="str">
            <v/>
          </cell>
        </row>
        <row r="858">
          <cell r="G858" t="str">
            <v>&lt;Select&gt;</v>
          </cell>
          <cell r="I858" t="str">
            <v/>
          </cell>
        </row>
        <row r="859">
          <cell r="I859" t="str">
            <v/>
          </cell>
        </row>
        <row r="860">
          <cell r="G860" t="str">
            <v>&lt;Select&gt;</v>
          </cell>
          <cell r="I860" t="str">
            <v/>
          </cell>
        </row>
        <row r="861">
          <cell r="G861" t="str">
            <v>Locating buried communications cable in carriageways, footways and bridge decks</v>
          </cell>
          <cell r="H861" t="str">
            <v>m</v>
          </cell>
          <cell r="I861">
            <v>17.376824328981158</v>
          </cell>
          <cell r="K861">
            <v>37.188727220195929</v>
          </cell>
          <cell r="M861">
            <v>24.66</v>
          </cell>
        </row>
        <row r="862">
          <cell r="G862" t="str">
            <v>Locating buried communications cable in verges, embankments and cuttings</v>
          </cell>
          <cell r="H862" t="str">
            <v>m</v>
          </cell>
          <cell r="I862">
            <v>17.376824328981158</v>
          </cell>
          <cell r="K862">
            <v>37.188727220195929</v>
          </cell>
          <cell r="M862">
            <v>19.73</v>
          </cell>
        </row>
        <row r="863">
          <cell r="G863" t="str">
            <v>Locating buried communications cable in central reserves</v>
          </cell>
          <cell r="H863" t="str">
            <v>m</v>
          </cell>
          <cell r="I863">
            <v>17.376824328981158</v>
          </cell>
          <cell r="K863">
            <v>37.188727220195929</v>
          </cell>
          <cell r="M863">
            <v>19.73</v>
          </cell>
        </row>
        <row r="864">
          <cell r="G864" t="str">
            <v>Locating buried communications cable in trench</v>
          </cell>
          <cell r="H864" t="str">
            <v>m</v>
          </cell>
          <cell r="I864">
            <v>17.676588078981158</v>
          </cell>
          <cell r="K864">
            <v>37.211081796618451</v>
          </cell>
        </row>
        <row r="866">
          <cell r="G866" t="str">
            <v>&lt;Select&gt;</v>
          </cell>
          <cell r="I866" t="str">
            <v/>
          </cell>
        </row>
        <row r="868">
          <cell r="G868" t="str">
            <v>&lt;Select&gt;</v>
          </cell>
          <cell r="I868" t="str">
            <v/>
          </cell>
        </row>
        <row r="870">
          <cell r="G870" t="str">
            <v>&lt;Select&gt;</v>
          </cell>
          <cell r="I870" t="str">
            <v/>
          </cell>
        </row>
        <row r="872">
          <cell r="G872" t="str">
            <v>&lt;Select&gt;</v>
          </cell>
          <cell r="I872" t="str">
            <v/>
          </cell>
        </row>
        <row r="874">
          <cell r="G874" t="str">
            <v>&lt;Select&gt;</v>
          </cell>
          <cell r="I874" t="str">
            <v/>
          </cell>
        </row>
        <row r="875">
          <cell r="I875" t="str">
            <v/>
          </cell>
        </row>
        <row r="876">
          <cell r="G876" t="str">
            <v>&lt;Select&gt;</v>
          </cell>
          <cell r="I876" t="str">
            <v/>
          </cell>
        </row>
        <row r="877">
          <cell r="G877" t="str">
            <v>Loop detector installation Type 2 double lane.</v>
          </cell>
          <cell r="H877" t="str">
            <v>no</v>
          </cell>
          <cell r="I877">
            <v>977.36130780628798</v>
          </cell>
          <cell r="K877">
            <v>998.3899838379175</v>
          </cell>
        </row>
        <row r="878">
          <cell r="G878" t="str">
            <v>Loop detector installation Type 3 three lane.</v>
          </cell>
          <cell r="H878" t="str">
            <v>no</v>
          </cell>
          <cell r="I878">
            <v>1189.1604273701048</v>
          </cell>
          <cell r="K878">
            <v>1216.066136468072</v>
          </cell>
        </row>
        <row r="879">
          <cell r="G879" t="str">
            <v>Loop detector installation Type 3 three lane and hardshoulder.</v>
          </cell>
          <cell r="H879" t="str">
            <v>no</v>
          </cell>
          <cell r="I879">
            <v>1324.4011233974707</v>
          </cell>
          <cell r="K879">
            <v>1354.2391803301875</v>
          </cell>
        </row>
        <row r="880">
          <cell r="G880" t="str">
            <v>Loop detector installation Type 4 four lane.</v>
          </cell>
          <cell r="H880" t="str">
            <v>no</v>
          </cell>
          <cell r="I880">
            <v>1321.5575902430248</v>
          </cell>
          <cell r="K880">
            <v>1350.0538521159303</v>
          </cell>
        </row>
        <row r="881">
          <cell r="G881" t="str">
            <v xml:space="preserve">Loop detector installation Type 4 four lane and hardshoulder. </v>
          </cell>
          <cell r="H881" t="str">
            <v>no</v>
          </cell>
          <cell r="I881">
            <v>1458.387584680813</v>
          </cell>
          <cell r="K881">
            <v>1484.1490267777294</v>
          </cell>
        </row>
        <row r="882">
          <cell r="I882" t="str">
            <v/>
          </cell>
        </row>
        <row r="883">
          <cell r="I883" t="str">
            <v/>
          </cell>
        </row>
        <row r="884">
          <cell r="I884" t="str">
            <v/>
          </cell>
        </row>
        <row r="885">
          <cell r="G885" t="str">
            <v>&lt;Select&gt;</v>
          </cell>
          <cell r="I885" t="str">
            <v/>
          </cell>
        </row>
        <row r="886">
          <cell r="I886" t="str">
            <v/>
          </cell>
        </row>
        <row r="887">
          <cell r="G887" t="str">
            <v>&lt;Select&gt;</v>
          </cell>
          <cell r="I887" t="str">
            <v/>
          </cell>
        </row>
        <row r="888">
          <cell r="G888" t="str">
            <v>Establishment of plant for cast-in-place concrete piles ne 600mm diameter (single rig)</v>
          </cell>
          <cell r="H888" t="str">
            <v>item</v>
          </cell>
          <cell r="I888">
            <v>6802.0350000000008</v>
          </cell>
          <cell r="K888">
            <v>8162.4420000000009</v>
          </cell>
          <cell r="M888">
            <v>11132</v>
          </cell>
          <cell r="O888">
            <v>0</v>
          </cell>
          <cell r="Q888">
            <v>0</v>
          </cell>
          <cell r="S888">
            <v>0</v>
          </cell>
          <cell r="U888">
            <v>0</v>
          </cell>
          <cell r="W888">
            <v>0</v>
          </cell>
        </row>
        <row r="889">
          <cell r="G889" t="str">
            <v>Establishment of plant for cast-in-place concrete piles exc. 600mm diameter (single rig)</v>
          </cell>
          <cell r="H889" t="str">
            <v>item</v>
          </cell>
          <cell r="I889">
            <v>8351.6041666666661</v>
          </cell>
          <cell r="K889">
            <v>10021.924999999999</v>
          </cell>
          <cell r="M889">
            <v>13358.4</v>
          </cell>
          <cell r="O889">
            <v>0</v>
          </cell>
          <cell r="Q889">
            <v>0</v>
          </cell>
          <cell r="S889">
            <v>0</v>
          </cell>
          <cell r="U889">
            <v>0</v>
          </cell>
          <cell r="W889">
            <v>0</v>
          </cell>
        </row>
        <row r="890">
          <cell r="G890" t="str">
            <v>Establishment of plant for CFA concrete piles ne 500mm diameter (single rig)</v>
          </cell>
          <cell r="H890" t="str">
            <v>item</v>
          </cell>
          <cell r="I890">
            <v>7171.9416666666666</v>
          </cell>
          <cell r="K890">
            <v>8606.33</v>
          </cell>
          <cell r="M890">
            <v>4818.26</v>
          </cell>
          <cell r="O890">
            <v>0</v>
          </cell>
          <cell r="Q890">
            <v>0</v>
          </cell>
          <cell r="S890">
            <v>0</v>
          </cell>
          <cell r="U890">
            <v>0</v>
          </cell>
          <cell r="W890">
            <v>0</v>
          </cell>
        </row>
        <row r="891">
          <cell r="G891" t="str">
            <v>Establishment of plant for CFA concrete piles exc. 500mm but ne 900mm diameter (single rig)</v>
          </cell>
          <cell r="H891" t="str">
            <v>item</v>
          </cell>
          <cell r="I891">
            <v>8134.3445833333326</v>
          </cell>
          <cell r="K891">
            <v>9761.213499999998</v>
          </cell>
          <cell r="M891">
            <v>5506.77</v>
          </cell>
          <cell r="O891">
            <v>0</v>
          </cell>
          <cell r="Q891">
            <v>0</v>
          </cell>
          <cell r="S891">
            <v>0</v>
          </cell>
          <cell r="U891">
            <v>0</v>
          </cell>
          <cell r="W891">
            <v>0</v>
          </cell>
        </row>
        <row r="892">
          <cell r="G892" t="str">
            <v>Establishment of piling plant for driving and extracting steel sheet piles (single rig)</v>
          </cell>
          <cell r="H892" t="str">
            <v>item</v>
          </cell>
          <cell r="I892">
            <v>4099.82</v>
          </cell>
          <cell r="K892">
            <v>4919.7839999999997</v>
          </cell>
          <cell r="M892">
            <v>5950</v>
          </cell>
          <cell r="O892">
            <v>0</v>
          </cell>
          <cell r="Q892">
            <v>0</v>
          </cell>
          <cell r="S892">
            <v>0</v>
          </cell>
          <cell r="U892">
            <v>0</v>
          </cell>
          <cell r="W892">
            <v>0</v>
          </cell>
        </row>
        <row r="893">
          <cell r="G893" t="str">
            <v>Establishment of plant for steel bearing piles (single rig)</v>
          </cell>
          <cell r="H893" t="str">
            <v>item</v>
          </cell>
          <cell r="I893">
            <v>4914.7166666666672</v>
          </cell>
          <cell r="K893">
            <v>5897.66</v>
          </cell>
          <cell r="M893">
            <v>7547.72</v>
          </cell>
          <cell r="O893">
            <v>0</v>
          </cell>
          <cell r="Q893">
            <v>0</v>
          </cell>
          <cell r="S893">
            <v>0</v>
          </cell>
          <cell r="U893">
            <v>0</v>
          </cell>
          <cell r="W893">
            <v>0</v>
          </cell>
        </row>
        <row r="894">
          <cell r="G894" t="str">
            <v>Establishment of plant for steel tubular bearing piles (single rig)</v>
          </cell>
          <cell r="H894" t="str">
            <v>item</v>
          </cell>
          <cell r="I894">
            <v>4700.1166666666668</v>
          </cell>
          <cell r="K894">
            <v>5640.14</v>
          </cell>
          <cell r="M894">
            <v>7150</v>
          </cell>
          <cell r="O894">
            <v>0</v>
          </cell>
          <cell r="Q894">
            <v>0</v>
          </cell>
          <cell r="S894">
            <v>0</v>
          </cell>
          <cell r="U894">
            <v>0</v>
          </cell>
          <cell r="W894">
            <v>0</v>
          </cell>
        </row>
        <row r="895">
          <cell r="G895" t="str">
            <v>Moving piling plant for cast-in-place concrete piles ne 600mm diameter</v>
          </cell>
          <cell r="H895" t="str">
            <v>no</v>
          </cell>
          <cell r="I895">
            <v>30.08666666666667</v>
          </cell>
          <cell r="K895">
            <v>36.103999999999999</v>
          </cell>
          <cell r="M895">
            <v>61.13</v>
          </cell>
          <cell r="O895">
            <v>0</v>
          </cell>
          <cell r="Q895">
            <v>0</v>
          </cell>
          <cell r="S895">
            <v>0</v>
          </cell>
          <cell r="U895">
            <v>0</v>
          </cell>
          <cell r="W895">
            <v>0</v>
          </cell>
        </row>
        <row r="896">
          <cell r="G896" t="str">
            <v>Moving piling plant for cast-in-place concrete piles exc. 600mm diameter</v>
          </cell>
          <cell r="H896" t="str">
            <v>no</v>
          </cell>
          <cell r="I896">
            <v>47.502499999999998</v>
          </cell>
          <cell r="K896">
            <v>57.002999999999993</v>
          </cell>
          <cell r="M896">
            <v>73.355999999999995</v>
          </cell>
          <cell r="O896">
            <v>0</v>
          </cell>
          <cell r="Q896">
            <v>0</v>
          </cell>
          <cell r="S896">
            <v>0</v>
          </cell>
          <cell r="U896">
            <v>0</v>
          </cell>
          <cell r="W896">
            <v>0</v>
          </cell>
        </row>
        <row r="897">
          <cell r="G897" t="str">
            <v>Moving piling plant for CFA concrete piles ne 500mm diameter</v>
          </cell>
          <cell r="H897" t="str">
            <v>no</v>
          </cell>
          <cell r="I897">
            <v>37.282499999999999</v>
          </cell>
          <cell r="K897">
            <v>44.738999999999997</v>
          </cell>
          <cell r="M897">
            <v>56.43</v>
          </cell>
          <cell r="O897">
            <v>0</v>
          </cell>
          <cell r="Q897">
            <v>0</v>
          </cell>
          <cell r="S897">
            <v>0</v>
          </cell>
          <cell r="U897">
            <v>0</v>
          </cell>
          <cell r="W897">
            <v>0</v>
          </cell>
        </row>
        <row r="898">
          <cell r="G898" t="str">
            <v>Moving piling plant for CFA concrete piles exc. 500mm but ne 900mm diameter</v>
          </cell>
          <cell r="H898" t="str">
            <v>no</v>
          </cell>
          <cell r="I898">
            <v>32.586666666666666</v>
          </cell>
          <cell r="K898">
            <v>39.103999999999999</v>
          </cell>
          <cell r="M898">
            <v>56.43</v>
          </cell>
          <cell r="O898">
            <v>0</v>
          </cell>
          <cell r="Q898">
            <v>0</v>
          </cell>
          <cell r="S898">
            <v>0</v>
          </cell>
          <cell r="U898">
            <v>0</v>
          </cell>
          <cell r="W898">
            <v>0</v>
          </cell>
        </row>
        <row r="899">
          <cell r="G899" t="str">
            <v xml:space="preserve">Moving piling plant for steel sheet piles </v>
          </cell>
          <cell r="H899" t="str">
            <v>no</v>
          </cell>
          <cell r="I899">
            <v>19.026</v>
          </cell>
          <cell r="K899">
            <v>22.831199999999999</v>
          </cell>
          <cell r="O899">
            <v>0</v>
          </cell>
          <cell r="Q899">
            <v>0</v>
          </cell>
          <cell r="S899">
            <v>0</v>
          </cell>
          <cell r="U899">
            <v>0</v>
          </cell>
          <cell r="W899">
            <v>0</v>
          </cell>
        </row>
        <row r="900">
          <cell r="G900" t="str">
            <v xml:space="preserve">Moving piling plant for steel bearing piles </v>
          </cell>
          <cell r="H900" t="str">
            <v>no</v>
          </cell>
          <cell r="I900">
            <v>19.026</v>
          </cell>
          <cell r="K900">
            <v>22.831199999999999</v>
          </cell>
          <cell r="M900">
            <v>245</v>
          </cell>
          <cell r="O900">
            <v>0</v>
          </cell>
          <cell r="Q900">
            <v>0</v>
          </cell>
          <cell r="S900">
            <v>0</v>
          </cell>
          <cell r="U900">
            <v>0</v>
          </cell>
          <cell r="W900">
            <v>0</v>
          </cell>
        </row>
        <row r="901">
          <cell r="G901" t="str">
            <v xml:space="preserve">Moving piling plant for steel tubular bearing piles </v>
          </cell>
          <cell r="H901" t="str">
            <v>no</v>
          </cell>
          <cell r="I901">
            <v>21.3</v>
          </cell>
          <cell r="K901">
            <v>25.56</v>
          </cell>
          <cell r="M901">
            <v>270</v>
          </cell>
          <cell r="O901">
            <v>0</v>
          </cell>
          <cell r="Q901">
            <v>0</v>
          </cell>
          <cell r="S901">
            <v>0</v>
          </cell>
          <cell r="U901">
            <v>0</v>
          </cell>
          <cell r="W901">
            <v>0</v>
          </cell>
        </row>
        <row r="902">
          <cell r="O902">
            <v>0</v>
          </cell>
          <cell r="Q902">
            <v>0</v>
          </cell>
          <cell r="S902">
            <v>0</v>
          </cell>
          <cell r="U902">
            <v>0</v>
          </cell>
          <cell r="W902">
            <v>0</v>
          </cell>
        </row>
        <row r="904">
          <cell r="G904" t="str">
            <v>&lt;Select&gt;</v>
          </cell>
          <cell r="I904" t="str">
            <v/>
          </cell>
        </row>
        <row r="905">
          <cell r="I905" t="str">
            <v/>
          </cell>
        </row>
        <row r="906">
          <cell r="G906" t="str">
            <v>&lt;Select&gt;</v>
          </cell>
          <cell r="I906" t="str">
            <v/>
          </cell>
        </row>
        <row r="907">
          <cell r="G907" t="str">
            <v>Vertical cast-in-place piles, 300mm dia, ne. 5.0m in depth</v>
          </cell>
          <cell r="H907" t="str">
            <v>m</v>
          </cell>
          <cell r="I907">
            <v>37.370298661174047</v>
          </cell>
          <cell r="K907">
            <v>44.844358393408854</v>
          </cell>
          <cell r="M907">
            <v>43.89</v>
          </cell>
          <cell r="O907">
            <v>28.533263999999999</v>
          </cell>
          <cell r="Q907">
            <v>27.794063999999999</v>
          </cell>
          <cell r="S907">
            <v>0.73920000000000008</v>
          </cell>
          <cell r="U907">
            <v>0</v>
          </cell>
          <cell r="W907">
            <v>160</v>
          </cell>
        </row>
        <row r="908">
          <cell r="G908" t="str">
            <v>Vertical cast-in-place piles, 300mm dia, exc. 5.0m but ne.10.0m in depth</v>
          </cell>
          <cell r="H908" t="str">
            <v>m</v>
          </cell>
          <cell r="I908">
            <v>32.440643666323382</v>
          </cell>
          <cell r="K908">
            <v>38.928772399588055</v>
          </cell>
          <cell r="M908">
            <v>43.89</v>
          </cell>
          <cell r="O908">
            <v>28.533263999999999</v>
          </cell>
          <cell r="Q908">
            <v>27.794063999999999</v>
          </cell>
          <cell r="S908">
            <v>0.73920000000000008</v>
          </cell>
          <cell r="U908">
            <v>0</v>
          </cell>
          <cell r="W908">
            <v>160</v>
          </cell>
        </row>
        <row r="909">
          <cell r="G909" t="str">
            <v>Vertical cast-in-place piles, 300mm dia, exc. 10.0m in depth</v>
          </cell>
          <cell r="H909" t="str">
            <v>m</v>
          </cell>
          <cell r="I909">
            <v>32.440643666323382</v>
          </cell>
          <cell r="K909">
            <v>38.928772399588055</v>
          </cell>
          <cell r="M909">
            <v>43.89</v>
          </cell>
          <cell r="O909">
            <v>28.533263999999999</v>
          </cell>
          <cell r="Q909">
            <v>27.794063999999999</v>
          </cell>
          <cell r="S909">
            <v>0.73920000000000008</v>
          </cell>
          <cell r="U909">
            <v>0</v>
          </cell>
          <cell r="W909">
            <v>160</v>
          </cell>
        </row>
        <row r="910">
          <cell r="G910" t="str">
            <v>Vertical cast-in-place piles, 450mm dia, ne. 5.0m in depth</v>
          </cell>
          <cell r="H910" t="str">
            <v>m</v>
          </cell>
          <cell r="I910">
            <v>50.619392378990732</v>
          </cell>
          <cell r="K910">
            <v>60.743270854788875</v>
          </cell>
          <cell r="M910">
            <v>99.75</v>
          </cell>
          <cell r="O910">
            <v>64.199843999999999</v>
          </cell>
          <cell r="Q910">
            <v>62.536644000000003</v>
          </cell>
          <cell r="S910">
            <v>1.6632000000000002</v>
          </cell>
          <cell r="U910">
            <v>0</v>
          </cell>
          <cell r="W910">
            <v>360</v>
          </cell>
        </row>
        <row r="911">
          <cell r="G911" t="str">
            <v>Vertical cast-in-place piles, 450mm dia, exc. 5.0m but ne.10.0m in depth</v>
          </cell>
          <cell r="H911" t="str">
            <v>m</v>
          </cell>
          <cell r="I911">
            <v>45.110993820803294</v>
          </cell>
          <cell r="K911">
            <v>54.13319258496395</v>
          </cell>
          <cell r="M911">
            <v>99.75</v>
          </cell>
          <cell r="O911">
            <v>64.199843999999999</v>
          </cell>
          <cell r="Q911">
            <v>62.536644000000003</v>
          </cell>
          <cell r="S911">
            <v>1.6632000000000002</v>
          </cell>
          <cell r="U911">
            <v>0</v>
          </cell>
          <cell r="W911">
            <v>360</v>
          </cell>
        </row>
        <row r="912">
          <cell r="G912" t="str">
            <v>Vertical cast-in-place piles, 450mm dia, exc. 10.0m in depth</v>
          </cell>
          <cell r="H912" t="str">
            <v>m</v>
          </cell>
          <cell r="I912">
            <v>45.110993820803294</v>
          </cell>
          <cell r="K912">
            <v>54.13319258496395</v>
          </cell>
          <cell r="M912">
            <v>99.75</v>
          </cell>
          <cell r="O912">
            <v>64.199843999999999</v>
          </cell>
          <cell r="Q912">
            <v>62.536644000000003</v>
          </cell>
          <cell r="S912">
            <v>1.6632000000000002</v>
          </cell>
          <cell r="U912">
            <v>0</v>
          </cell>
          <cell r="W912">
            <v>360</v>
          </cell>
        </row>
        <row r="913">
          <cell r="G913" t="str">
            <v>Vertical cast-in-place piles, 600mm dia, ne. 5.0m in depth</v>
          </cell>
          <cell r="H913" t="str">
            <v>m</v>
          </cell>
          <cell r="I913">
            <v>73.386750772399594</v>
          </cell>
          <cell r="K913">
            <v>88.064100926879505</v>
          </cell>
          <cell r="M913">
            <v>142.64249999999998</v>
          </cell>
          <cell r="O913">
            <v>113.24139150000001</v>
          </cell>
          <cell r="Q913">
            <v>110.3076915</v>
          </cell>
          <cell r="S913">
            <v>2.9337000000000004</v>
          </cell>
          <cell r="U913">
            <v>0</v>
          </cell>
          <cell r="W913">
            <v>635</v>
          </cell>
        </row>
        <row r="914">
          <cell r="G914" t="str">
            <v>Vertical cast-in-place piles, 600mm dia, exc. 5.0m but ne.10.0m in depth</v>
          </cell>
          <cell r="H914" t="str">
            <v>m</v>
          </cell>
          <cell r="I914">
            <v>64.560911431513901</v>
          </cell>
          <cell r="K914">
            <v>77.473093717816681</v>
          </cell>
          <cell r="M914">
            <v>142.64249999999998</v>
          </cell>
          <cell r="O914">
            <v>113.24139150000001</v>
          </cell>
          <cell r="Q914">
            <v>110.3076915</v>
          </cell>
          <cell r="S914">
            <v>2.9337000000000004</v>
          </cell>
          <cell r="U914">
            <v>0</v>
          </cell>
          <cell r="W914">
            <v>635</v>
          </cell>
        </row>
        <row r="915">
          <cell r="G915" t="str">
            <v>Vertical cast-in-place piles, 600mm dia, exc. 10.0m in depth</v>
          </cell>
          <cell r="H915" t="str">
            <v>m</v>
          </cell>
          <cell r="I915">
            <v>62.607651905252318</v>
          </cell>
          <cell r="K915">
            <v>75.129182286302779</v>
          </cell>
          <cell r="M915">
            <v>142.64249999999998</v>
          </cell>
          <cell r="O915">
            <v>113.24139150000001</v>
          </cell>
          <cell r="Q915">
            <v>110.3076915</v>
          </cell>
          <cell r="S915">
            <v>2.9337000000000004</v>
          </cell>
          <cell r="U915">
            <v>0</v>
          </cell>
          <cell r="W915">
            <v>635</v>
          </cell>
        </row>
        <row r="916">
          <cell r="G916" t="str">
            <v>Vertical cast-in-place piles, 750mm dia, ne. 5.0m in depth</v>
          </cell>
          <cell r="H916" t="str">
            <v>m</v>
          </cell>
          <cell r="I916">
            <v>98.996153450051494</v>
          </cell>
          <cell r="K916">
            <v>118.79538414006178</v>
          </cell>
          <cell r="M916">
            <v>223.44000000000003</v>
          </cell>
          <cell r="O916">
            <v>177.4412355</v>
          </cell>
          <cell r="Q916">
            <v>172.8443355</v>
          </cell>
          <cell r="S916">
            <v>4.5969000000000007</v>
          </cell>
          <cell r="U916">
            <v>0</v>
          </cell>
          <cell r="W916">
            <v>995</v>
          </cell>
        </row>
        <row r="917">
          <cell r="G917" t="str">
            <v>Vertical cast-in-place piles, 750mm dia, exc. 5.0m but ne.10.0m in depth</v>
          </cell>
          <cell r="H917" t="str">
            <v>m</v>
          </cell>
          <cell r="I917">
            <v>89.250525231719877</v>
          </cell>
          <cell r="K917">
            <v>107.10063027806385</v>
          </cell>
          <cell r="M917">
            <v>223.44000000000003</v>
          </cell>
          <cell r="O917">
            <v>177.4412355</v>
          </cell>
          <cell r="Q917">
            <v>172.8443355</v>
          </cell>
          <cell r="S917">
            <v>4.5969000000000007</v>
          </cell>
          <cell r="U917">
            <v>0</v>
          </cell>
          <cell r="W917">
            <v>995</v>
          </cell>
        </row>
        <row r="918">
          <cell r="G918" t="str">
            <v>Vertical cast-in-place piles, 750mm dia, exc. 10.0m in depth</v>
          </cell>
          <cell r="H918" t="str">
            <v>m</v>
          </cell>
          <cell r="I918">
            <v>85.912415036045317</v>
          </cell>
          <cell r="K918">
            <v>103.09489804325437</v>
          </cell>
          <cell r="M918">
            <v>223.44000000000003</v>
          </cell>
          <cell r="O918">
            <v>177.4412355</v>
          </cell>
          <cell r="Q918">
            <v>172.8443355</v>
          </cell>
          <cell r="S918">
            <v>4.5969000000000007</v>
          </cell>
          <cell r="U918">
            <v>0</v>
          </cell>
          <cell r="W918">
            <v>995</v>
          </cell>
        </row>
        <row r="919">
          <cell r="G919" t="str">
            <v>Vertical cast-in-place piles, 900mm dia, ne. 5.0m in depth</v>
          </cell>
          <cell r="H919" t="str">
            <v>m</v>
          </cell>
          <cell r="I919">
            <v>97.492453656024793</v>
          </cell>
          <cell r="K919">
            <v>116.99094438723</v>
          </cell>
          <cell r="O919">
            <v>255.5510457</v>
          </cell>
          <cell r="Q919">
            <v>248.93058569999999</v>
          </cell>
          <cell r="S919">
            <v>6.6204600000000005</v>
          </cell>
          <cell r="U919">
            <v>0</v>
          </cell>
          <cell r="W919">
            <v>1433</v>
          </cell>
        </row>
        <row r="920">
          <cell r="G920" t="str">
            <v>Vertical cast-in-place piles, 900mm dia, exc. 5.0m but ne.10.0m in depth</v>
          </cell>
          <cell r="H920" t="str">
            <v>m</v>
          </cell>
          <cell r="I920">
            <v>103.288634041036</v>
          </cell>
          <cell r="K920">
            <v>123.94636084924301</v>
          </cell>
          <cell r="O920">
            <v>255.5510457</v>
          </cell>
          <cell r="Q920">
            <v>248.93058569999999</v>
          </cell>
          <cell r="S920">
            <v>6.6204600000000005</v>
          </cell>
          <cell r="U920">
            <v>0</v>
          </cell>
          <cell r="W920">
            <v>1433</v>
          </cell>
        </row>
        <row r="921">
          <cell r="G921" t="str">
            <v>Vertical cast-in-place piles, 900mm dia, exc. 10.0m in depth</v>
          </cell>
          <cell r="H921" t="str">
            <v>m</v>
          </cell>
          <cell r="I921">
            <v>109.084814426048</v>
          </cell>
          <cell r="K921">
            <v>130.90177731125701</v>
          </cell>
          <cell r="O921">
            <v>255.5510457</v>
          </cell>
          <cell r="Q921">
            <v>248.93058569999999</v>
          </cell>
          <cell r="S921">
            <v>6.6204600000000005</v>
          </cell>
          <cell r="U921">
            <v>0</v>
          </cell>
          <cell r="W921">
            <v>1433</v>
          </cell>
        </row>
        <row r="922">
          <cell r="G922" t="str">
            <v>Vertical cast-in-place piles, 1200mm dia, ne. 5.0m in depth</v>
          </cell>
          <cell r="H922" t="str">
            <v>m</v>
          </cell>
          <cell r="I922">
            <v>114.880994811059</v>
          </cell>
          <cell r="K922">
            <v>137.85719377327101</v>
          </cell>
          <cell r="O922">
            <v>454.39222919999997</v>
          </cell>
          <cell r="Q922">
            <v>442.6204692</v>
          </cell>
          <cell r="S922">
            <v>11.77176</v>
          </cell>
          <cell r="U922">
            <v>0</v>
          </cell>
          <cell r="W922">
            <v>2548</v>
          </cell>
        </row>
        <row r="923">
          <cell r="G923" t="str">
            <v>Vertical cast-in-place piles, 1200mm dia, exc. 5.0m but ne.10.0m in depth</v>
          </cell>
          <cell r="H923" t="str">
            <v>m</v>
          </cell>
          <cell r="I923">
            <v>120.677175196071</v>
          </cell>
          <cell r="K923">
            <v>144.81261023528501</v>
          </cell>
          <cell r="O923">
            <v>454.39222919999997</v>
          </cell>
          <cell r="Q923">
            <v>442.6204692</v>
          </cell>
          <cell r="S923">
            <v>11.77176</v>
          </cell>
          <cell r="U923">
            <v>0</v>
          </cell>
          <cell r="W923">
            <v>2548</v>
          </cell>
        </row>
        <row r="924">
          <cell r="G924" t="str">
            <v>Vertical cast-in-place piles, 1200mm dia, exc. 10.0m in depth</v>
          </cell>
          <cell r="H924" t="str">
            <v>m</v>
          </cell>
          <cell r="I924">
            <v>126.473355581082</v>
          </cell>
          <cell r="K924">
            <v>151.76802669729801</v>
          </cell>
          <cell r="O924">
            <v>454.39222919999997</v>
          </cell>
          <cell r="Q924">
            <v>442.6204692</v>
          </cell>
          <cell r="S924">
            <v>11.77176</v>
          </cell>
          <cell r="U924">
            <v>0</v>
          </cell>
          <cell r="W924">
            <v>2548</v>
          </cell>
        </row>
        <row r="925">
          <cell r="G925" t="str">
            <v>Vertical cast-in-place piles, 1500mm dia, ne. 5.0m in depth</v>
          </cell>
          <cell r="H925" t="str">
            <v>m</v>
          </cell>
          <cell r="I925">
            <v>132.269535966094</v>
          </cell>
          <cell r="K925">
            <v>158.72344315931201</v>
          </cell>
          <cell r="O925">
            <v>924.44327490000001</v>
          </cell>
          <cell r="Q925">
            <v>691.55105490000005</v>
          </cell>
          <cell r="S925">
            <v>18.392220000000002</v>
          </cell>
          <cell r="U925">
            <v>214.5</v>
          </cell>
          <cell r="W925">
            <v>3981</v>
          </cell>
        </row>
        <row r="926">
          <cell r="G926" t="str">
            <v>Vertical cast-in-place piles, 1500mm dia, exc. 5.0m but ne.10.0m in depth</v>
          </cell>
          <cell r="H926" t="str">
            <v>m</v>
          </cell>
          <cell r="I926">
            <v>138.06571635110501</v>
          </cell>
          <cell r="K926">
            <v>165.67885962132601</v>
          </cell>
          <cell r="O926">
            <v>924.44327490000001</v>
          </cell>
          <cell r="Q926">
            <v>691.55105490000005</v>
          </cell>
          <cell r="S926">
            <v>18.392220000000002</v>
          </cell>
          <cell r="U926">
            <v>214.5</v>
          </cell>
          <cell r="W926">
            <v>3981</v>
          </cell>
        </row>
        <row r="927">
          <cell r="G927" t="str">
            <v>Vertical cast-in-place piles, 1500mm dia, exc. 10.0m in depth</v>
          </cell>
          <cell r="H927" t="str">
            <v>m</v>
          </cell>
          <cell r="I927">
            <v>143.86189673611699</v>
          </cell>
          <cell r="K927">
            <v>172.63427608334001</v>
          </cell>
          <cell r="O927">
            <v>924.44327490000001</v>
          </cell>
          <cell r="Q927">
            <v>691.55105490000005</v>
          </cell>
          <cell r="S927">
            <v>18.392220000000002</v>
          </cell>
          <cell r="U927">
            <v>214.5</v>
          </cell>
          <cell r="W927">
            <v>3981</v>
          </cell>
        </row>
        <row r="928">
          <cell r="O928">
            <v>0</v>
          </cell>
          <cell r="Q928">
            <v>0</v>
          </cell>
          <cell r="S928">
            <v>0</v>
          </cell>
          <cell r="U928">
            <v>0</v>
          </cell>
          <cell r="W928">
            <v>0</v>
          </cell>
        </row>
        <row r="930">
          <cell r="G930" t="str">
            <v>&lt;Select&gt;</v>
          </cell>
          <cell r="I930" t="str">
            <v/>
          </cell>
        </row>
        <row r="931">
          <cell r="G931" t="str">
            <v>Reinforcement for cast-in-place piles, High Tensile Steel Bar reinforcement nominal size =&lt;16mm; ne 12m in length</v>
          </cell>
          <cell r="H931" t="str">
            <v>tn</v>
          </cell>
          <cell r="I931">
            <v>950.1</v>
          </cell>
          <cell r="K931">
            <v>1140.1199999999999</v>
          </cell>
          <cell r="M931">
            <v>610</v>
          </cell>
          <cell r="O931">
            <v>2323.1566666666663</v>
          </cell>
          <cell r="Q931">
            <v>1841.2099999999998</v>
          </cell>
          <cell r="S931">
            <v>5.28</v>
          </cell>
          <cell r="U931">
            <v>476.66666666666669</v>
          </cell>
          <cell r="W931">
            <v>1000</v>
          </cell>
        </row>
        <row r="932">
          <cell r="G932" t="str">
            <v xml:space="preserve">Reinforcement for cast-in-place piles, High Tensile Steel Bar reinforcement nominal size =&gt;20mm; ne 12m in length </v>
          </cell>
          <cell r="H932" t="str">
            <v>tn</v>
          </cell>
          <cell r="I932">
            <v>943.02</v>
          </cell>
          <cell r="K932">
            <v>1131.624</v>
          </cell>
          <cell r="M932">
            <v>595</v>
          </cell>
          <cell r="O932">
            <v>2323.1566666666663</v>
          </cell>
          <cell r="Q932">
            <v>1841.2099999999998</v>
          </cell>
          <cell r="S932">
            <v>5.28</v>
          </cell>
          <cell r="U932">
            <v>476.66666666666669</v>
          </cell>
          <cell r="W932">
            <v>1000</v>
          </cell>
        </row>
        <row r="933">
          <cell r="G933" t="str">
            <v>Reinforcement for cast-in-place piles, High tensile steeel helical bar reinforcement nominal size =&lt;16mm; ne 12m in length</v>
          </cell>
          <cell r="H933" t="str">
            <v>tn</v>
          </cell>
          <cell r="I933">
            <v>1045.07</v>
          </cell>
          <cell r="K933">
            <v>1254.0839999999998</v>
          </cell>
          <cell r="M933">
            <v>630</v>
          </cell>
          <cell r="O933">
            <v>2323.1566666666663</v>
          </cell>
          <cell r="Q933">
            <v>1841.2099999999998</v>
          </cell>
          <cell r="S933">
            <v>5.28</v>
          </cell>
          <cell r="U933">
            <v>476.66666666666669</v>
          </cell>
          <cell r="W933">
            <v>1000</v>
          </cell>
        </row>
        <row r="934">
          <cell r="G934" t="str">
            <v>Reinforcement for cast-in-place piles, High tensile steeel helical bar reinforcement nominal size =&gt;20mm; ne 12m in length</v>
          </cell>
          <cell r="H934" t="str">
            <v>tn</v>
          </cell>
          <cell r="I934">
            <v>1032.8800000000001</v>
          </cell>
          <cell r="K934">
            <v>1239.4560000000001</v>
          </cell>
          <cell r="M934">
            <v>615</v>
          </cell>
          <cell r="O934">
            <v>0</v>
          </cell>
        </row>
        <row r="935">
          <cell r="O935">
            <v>0</v>
          </cell>
          <cell r="Q935">
            <v>0</v>
          </cell>
          <cell r="S935">
            <v>0</v>
          </cell>
          <cell r="U935">
            <v>0</v>
          </cell>
          <cell r="W935">
            <v>0</v>
          </cell>
        </row>
        <row r="937">
          <cell r="G937" t="str">
            <v>&lt;Select&gt;</v>
          </cell>
          <cell r="I937" t="str">
            <v/>
          </cell>
        </row>
        <row r="938">
          <cell r="I938" t="str">
            <v/>
          </cell>
        </row>
        <row r="939">
          <cell r="G939" t="str">
            <v>&lt;Select&gt;</v>
          </cell>
          <cell r="I939" t="str">
            <v/>
          </cell>
        </row>
        <row r="940">
          <cell r="G940" t="str">
            <v>Establishment of proof loading equipment for bored cast in place piles ne 500mm dia</v>
          </cell>
          <cell r="H940" t="str">
            <v>item</v>
          </cell>
          <cell r="I940">
            <v>1950</v>
          </cell>
          <cell r="K940">
            <v>2340</v>
          </cell>
          <cell r="M940">
            <v>1942.5</v>
          </cell>
        </row>
        <row r="941">
          <cell r="G941" t="str">
            <v>Establishment of proof loading equipment for bored cast in place piles exc 500mm but n.e 900mm dia</v>
          </cell>
          <cell r="H941" t="str">
            <v>item</v>
          </cell>
          <cell r="I941">
            <v>2250</v>
          </cell>
          <cell r="K941">
            <v>2700</v>
          </cell>
        </row>
        <row r="942">
          <cell r="G942" t="str">
            <v>Establishment of proof loading equipment for CFA cast in place piles ne 500mm dia</v>
          </cell>
          <cell r="H942" t="str">
            <v>item</v>
          </cell>
          <cell r="I942">
            <v>1950</v>
          </cell>
          <cell r="K942">
            <v>2340</v>
          </cell>
          <cell r="M942">
            <v>2780</v>
          </cell>
        </row>
        <row r="943">
          <cell r="G943" t="str">
            <v>Establishment of proof loading equipment for CFA cast in place piles exc 500mm but n.e 900mm dia</v>
          </cell>
          <cell r="H943" t="str">
            <v>item</v>
          </cell>
          <cell r="I943">
            <v>2250</v>
          </cell>
          <cell r="K943">
            <v>2700</v>
          </cell>
          <cell r="M943">
            <v>2780</v>
          </cell>
        </row>
        <row r="944">
          <cell r="G944" t="str">
            <v>Proof loading of vertical bored cast-in-place piles with max test load of 600kN on a working pile ne 500mm diameter using tension piles as reaction</v>
          </cell>
          <cell r="H944" t="str">
            <v>no</v>
          </cell>
          <cell r="I944">
            <v>2745.3919999999998</v>
          </cell>
          <cell r="K944">
            <v>3294.4703999999997</v>
          </cell>
          <cell r="M944">
            <v>3543.75</v>
          </cell>
        </row>
        <row r="945">
          <cell r="G945" t="str">
            <v>Proof loading of vertical bored cast-in-place piles with max test load of 2200kN on a working pile exc 500mm but ne 900mm diameter using tension piles as reaction</v>
          </cell>
          <cell r="H945" t="str">
            <v>no</v>
          </cell>
          <cell r="I945">
            <v>3677.9312500000001</v>
          </cell>
          <cell r="K945">
            <v>4413.5174999999999</v>
          </cell>
        </row>
        <row r="946">
          <cell r="G946" t="str">
            <v>Proof loading of vertical CFA cast-in-place piles with max test load of 650kN on a working pile ne 500mm diameter using tension piles as reaction</v>
          </cell>
          <cell r="H946" t="str">
            <v>no</v>
          </cell>
          <cell r="I946">
            <v>2630.9404999999997</v>
          </cell>
          <cell r="K946">
            <v>3157.1285999999996</v>
          </cell>
          <cell r="M946">
            <v>1457.5</v>
          </cell>
        </row>
        <row r="947">
          <cell r="G947" t="str">
            <v>Proof loading of vertical CFA cast-in-place piles with max test load of 2200kN on a working pile exc 500mm but ne 900mm diameter using tension piles as reaction</v>
          </cell>
          <cell r="H947" t="str">
            <v>no</v>
          </cell>
          <cell r="I947">
            <v>3586.6937500000004</v>
          </cell>
          <cell r="K947">
            <v>4304.0325000000003</v>
          </cell>
          <cell r="M947">
            <v>2788.5</v>
          </cell>
        </row>
        <row r="948">
          <cell r="I948" t="str">
            <v/>
          </cell>
        </row>
        <row r="949">
          <cell r="G949" t="str">
            <v>&lt;Select&gt;</v>
          </cell>
          <cell r="I949" t="str">
            <v/>
          </cell>
        </row>
        <row r="950">
          <cell r="G950" t="str">
            <v>PU8; ne 5.0 m in length</v>
          </cell>
          <cell r="H950" t="str">
            <v>m2</v>
          </cell>
          <cell r="I950">
            <v>103.30892083333335</v>
          </cell>
          <cell r="K950">
            <v>123.97070500000001</v>
          </cell>
          <cell r="M950">
            <v>98.9</v>
          </cell>
          <cell r="O950">
            <v>211.58943999999997</v>
          </cell>
          <cell r="Q950">
            <v>152.68889999999999</v>
          </cell>
          <cell r="S950">
            <v>0.54054000000000002</v>
          </cell>
          <cell r="U950">
            <v>58.36</v>
          </cell>
          <cell r="W950">
            <v>91</v>
          </cell>
        </row>
        <row r="951">
          <cell r="G951" t="str">
            <v>PU8; exc. 5.0m but ne 10.0m in length</v>
          </cell>
          <cell r="H951" t="str">
            <v>m2</v>
          </cell>
          <cell r="I951">
            <v>97.617966666666661</v>
          </cell>
          <cell r="K951">
            <v>117.14155999999998</v>
          </cell>
          <cell r="M951">
            <v>98.9</v>
          </cell>
          <cell r="O951">
            <v>211.58943999999997</v>
          </cell>
          <cell r="Q951">
            <v>152.68889999999999</v>
          </cell>
          <cell r="S951">
            <v>0.54054000000000002</v>
          </cell>
          <cell r="U951">
            <v>58.36</v>
          </cell>
          <cell r="W951">
            <v>91</v>
          </cell>
        </row>
        <row r="952">
          <cell r="G952" t="str">
            <v>PU8; exc. 10.0m but ne 15.0 m in length</v>
          </cell>
          <cell r="H952" t="str">
            <v>m2</v>
          </cell>
          <cell r="I952">
            <v>97.697791666666674</v>
          </cell>
          <cell r="K952">
            <v>117.23735000000001</v>
          </cell>
          <cell r="M952">
            <v>98.9</v>
          </cell>
          <cell r="O952">
            <v>211.58943999999997</v>
          </cell>
          <cell r="Q952">
            <v>152.68889999999999</v>
          </cell>
          <cell r="S952">
            <v>0.54054000000000002</v>
          </cell>
          <cell r="U952">
            <v>58.36</v>
          </cell>
          <cell r="W952">
            <v>91</v>
          </cell>
        </row>
        <row r="953">
          <cell r="G953" t="str">
            <v>PU12; ne 5.0 m in length</v>
          </cell>
          <cell r="H953" t="str">
            <v>m2</v>
          </cell>
          <cell r="I953">
            <v>120.52205833333332</v>
          </cell>
          <cell r="K953">
            <v>144.62646999999998</v>
          </cell>
          <cell r="M953">
            <v>108.98</v>
          </cell>
          <cell r="O953">
            <v>243.58240000000001</v>
          </cell>
          <cell r="Q953">
            <v>184.56899999999999</v>
          </cell>
          <cell r="S953">
            <v>0.65340000000000009</v>
          </cell>
          <cell r="U953">
            <v>58.36</v>
          </cell>
          <cell r="W953">
            <v>110</v>
          </cell>
        </row>
        <row r="954">
          <cell r="G954" t="str">
            <v>PU12; exc. 5.0m but ne 10.0m in length</v>
          </cell>
          <cell r="H954" t="str">
            <v>m2</v>
          </cell>
          <cell r="I954">
            <v>114.75476666666668</v>
          </cell>
          <cell r="K954">
            <v>137.70572000000001</v>
          </cell>
          <cell r="M954">
            <v>108.98</v>
          </cell>
          <cell r="O954">
            <v>243.58240000000001</v>
          </cell>
          <cell r="Q954">
            <v>184.56899999999999</v>
          </cell>
          <cell r="S954">
            <v>0.65340000000000009</v>
          </cell>
          <cell r="U954">
            <v>58.36</v>
          </cell>
          <cell r="W954">
            <v>110</v>
          </cell>
        </row>
        <row r="955">
          <cell r="G955" t="str">
            <v>PU12; exc. 10.0m but ne 15.0 m in length</v>
          </cell>
          <cell r="H955" t="str">
            <v>m2</v>
          </cell>
          <cell r="I955">
            <v>114.73694166666668</v>
          </cell>
          <cell r="K955">
            <v>137.68433000000002</v>
          </cell>
          <cell r="M955">
            <v>108.98</v>
          </cell>
          <cell r="O955">
            <v>243.58240000000001</v>
          </cell>
          <cell r="Q955">
            <v>184.56899999999999</v>
          </cell>
          <cell r="S955">
            <v>0.65340000000000009</v>
          </cell>
          <cell r="U955">
            <v>58.36</v>
          </cell>
          <cell r="W955">
            <v>110</v>
          </cell>
        </row>
        <row r="956">
          <cell r="G956" t="str">
            <v>PU22; ne 5.0 m in length</v>
          </cell>
          <cell r="H956" t="str">
            <v>m2</v>
          </cell>
          <cell r="I956">
            <v>148.31743333333335</v>
          </cell>
          <cell r="K956">
            <v>177.98092000000003</v>
          </cell>
          <cell r="M956">
            <v>135.08000000000001</v>
          </cell>
          <cell r="O956">
            <v>300.83295999999996</v>
          </cell>
          <cell r="Q956">
            <v>241.61759999999998</v>
          </cell>
          <cell r="S956">
            <v>0.85536000000000012</v>
          </cell>
          <cell r="U956">
            <v>58.36</v>
          </cell>
          <cell r="W956">
            <v>144</v>
          </cell>
        </row>
        <row r="957">
          <cell r="G957" t="str">
            <v>PU22; exc. 5.0m but ne 10.0m in length</v>
          </cell>
          <cell r="H957" t="str">
            <v>m2</v>
          </cell>
          <cell r="I957">
            <v>142.84528750000001</v>
          </cell>
          <cell r="K957">
            <v>171.414345</v>
          </cell>
          <cell r="M957">
            <v>135.08000000000001</v>
          </cell>
          <cell r="O957">
            <v>300.83295999999996</v>
          </cell>
          <cell r="Q957">
            <v>241.61759999999998</v>
          </cell>
          <cell r="S957">
            <v>0.85536000000000012</v>
          </cell>
          <cell r="U957">
            <v>58.36</v>
          </cell>
          <cell r="W957">
            <v>144</v>
          </cell>
        </row>
        <row r="958">
          <cell r="G958" t="str">
            <v>PU22; exc. 10.0m but ne 15.0 m in length</v>
          </cell>
          <cell r="H958" t="str">
            <v>m2</v>
          </cell>
          <cell r="I958">
            <v>141.44847916666669</v>
          </cell>
          <cell r="K958">
            <v>169.73817500000001</v>
          </cell>
          <cell r="M958">
            <v>135.08000000000001</v>
          </cell>
          <cell r="O958">
            <v>300.83295999999996</v>
          </cell>
          <cell r="Q958">
            <v>241.61759999999998</v>
          </cell>
          <cell r="S958">
            <v>0.85536000000000012</v>
          </cell>
          <cell r="U958">
            <v>58.36</v>
          </cell>
          <cell r="W958">
            <v>144</v>
          </cell>
        </row>
        <row r="959">
          <cell r="G959" t="str">
            <v>PU32; ne 5.0 m in length</v>
          </cell>
          <cell r="H959" t="str">
            <v>m2</v>
          </cell>
          <cell r="I959">
            <v>186.0032291666667</v>
          </cell>
          <cell r="K959">
            <v>223.20387500000004</v>
          </cell>
          <cell r="M959">
            <v>146.04</v>
          </cell>
          <cell r="O959">
            <v>378.28960000000001</v>
          </cell>
          <cell r="Q959">
            <v>318.80099999999999</v>
          </cell>
          <cell r="S959">
            <v>1.1286</v>
          </cell>
          <cell r="U959">
            <v>58.36</v>
          </cell>
          <cell r="W959">
            <v>190</v>
          </cell>
        </row>
        <row r="960">
          <cell r="G960" t="str">
            <v>PU32; exc. 5.0m but ne 10.0m in length</v>
          </cell>
          <cell r="H960" t="str">
            <v>m2</v>
          </cell>
          <cell r="I960">
            <v>180.11297083333332</v>
          </cell>
          <cell r="K960">
            <v>216.13556499999999</v>
          </cell>
          <cell r="M960">
            <v>146.04</v>
          </cell>
          <cell r="O960">
            <v>378.28960000000001</v>
          </cell>
          <cell r="Q960">
            <v>318.80099999999999</v>
          </cell>
          <cell r="S960">
            <v>1.1286</v>
          </cell>
          <cell r="U960">
            <v>58.36</v>
          </cell>
          <cell r="W960">
            <v>190</v>
          </cell>
        </row>
        <row r="961">
          <cell r="G961" t="str">
            <v>PU32; exc. 10.0m but ne 15.0 m in length</v>
          </cell>
          <cell r="H961" t="str">
            <v>m2</v>
          </cell>
          <cell r="I961">
            <v>180.12407916666669</v>
          </cell>
          <cell r="K961">
            <v>216.14889500000001</v>
          </cell>
          <cell r="M961">
            <v>146.04</v>
          </cell>
          <cell r="O961">
            <v>378.28960000000001</v>
          </cell>
          <cell r="Q961">
            <v>318.80099999999999</v>
          </cell>
          <cell r="S961">
            <v>1.1286</v>
          </cell>
          <cell r="U961">
            <v>58.36</v>
          </cell>
          <cell r="W961">
            <v>190</v>
          </cell>
        </row>
        <row r="962">
          <cell r="G962" t="str">
            <v>AU14; ne 5.0 m in length</v>
          </cell>
          <cell r="H962" t="str">
            <v>m2</v>
          </cell>
          <cell r="I962">
            <v>112.56358333333334</v>
          </cell>
          <cell r="K962">
            <v>135.0763</v>
          </cell>
          <cell r="O962">
            <v>233.47935999999999</v>
          </cell>
          <cell r="Q962">
            <v>174.5016</v>
          </cell>
          <cell r="S962">
            <v>0.61776000000000009</v>
          </cell>
          <cell r="U962">
            <v>58.36</v>
          </cell>
          <cell r="W962">
            <v>104</v>
          </cell>
        </row>
        <row r="963">
          <cell r="G963" t="str">
            <v>AU14; exc. 5.0m but ne 10.0m in length</v>
          </cell>
          <cell r="H963" t="str">
            <v>m2</v>
          </cell>
          <cell r="I963">
            <v>107.37444166666667</v>
          </cell>
          <cell r="K963">
            <v>128.84933000000001</v>
          </cell>
          <cell r="O963">
            <v>233.47935999999999</v>
          </cell>
          <cell r="Q963">
            <v>174.5016</v>
          </cell>
          <cell r="S963">
            <v>0.61776000000000009</v>
          </cell>
          <cell r="U963">
            <v>58.36</v>
          </cell>
          <cell r="W963">
            <v>104</v>
          </cell>
        </row>
        <row r="964">
          <cell r="G964" t="str">
            <v>AU14; exc. 10.0m but ne 15.0 m in length</v>
          </cell>
          <cell r="H964" t="str">
            <v>m2</v>
          </cell>
          <cell r="I964">
            <v>106.23222083333334</v>
          </cell>
          <cell r="K964">
            <v>127.47866500000001</v>
          </cell>
          <cell r="O964">
            <v>233.47935999999999</v>
          </cell>
          <cell r="Q964">
            <v>174.5016</v>
          </cell>
          <cell r="S964">
            <v>0.61776000000000009</v>
          </cell>
          <cell r="U964">
            <v>58.36</v>
          </cell>
          <cell r="W964">
            <v>104</v>
          </cell>
        </row>
        <row r="965">
          <cell r="G965" t="str">
            <v>AU18; ne 5.0 m in length</v>
          </cell>
          <cell r="H965" t="str">
            <v>m2</v>
          </cell>
          <cell r="I965">
            <v>124.15835833333333</v>
          </cell>
          <cell r="K965">
            <v>148.99002999999999</v>
          </cell>
          <cell r="O965">
            <v>257.05311999999998</v>
          </cell>
          <cell r="Q965">
            <v>197.9922</v>
          </cell>
          <cell r="S965">
            <v>0.7009200000000001</v>
          </cell>
          <cell r="U965">
            <v>58.36</v>
          </cell>
          <cell r="W965">
            <v>118</v>
          </cell>
        </row>
        <row r="966">
          <cell r="G966" t="str">
            <v>AU18; exc. 5.0m but ne 10.0m in length</v>
          </cell>
          <cell r="H966" t="str">
            <v>m2</v>
          </cell>
          <cell r="I966">
            <v>118.91548333333334</v>
          </cell>
          <cell r="K966">
            <v>142.69857999999999</v>
          </cell>
          <cell r="O966">
            <v>257.05311999999998</v>
          </cell>
          <cell r="Q966">
            <v>197.9922</v>
          </cell>
          <cell r="S966">
            <v>0.7009200000000001</v>
          </cell>
          <cell r="U966">
            <v>58.36</v>
          </cell>
          <cell r="W966">
            <v>118</v>
          </cell>
        </row>
        <row r="967">
          <cell r="G967" t="str">
            <v>AU18; exc. 10.0m but ne 15.0 m in length</v>
          </cell>
          <cell r="H967" t="str">
            <v>m2</v>
          </cell>
          <cell r="I967">
            <v>117.78359583333334</v>
          </cell>
          <cell r="K967">
            <v>141.340315</v>
          </cell>
          <cell r="O967">
            <v>257.05311999999998</v>
          </cell>
          <cell r="Q967">
            <v>197.9922</v>
          </cell>
          <cell r="S967">
            <v>0.7009200000000001</v>
          </cell>
          <cell r="U967">
            <v>58.36</v>
          </cell>
          <cell r="W967">
            <v>118</v>
          </cell>
        </row>
        <row r="968">
          <cell r="G968" t="str">
            <v>AU25; ne 5.0 m in length</v>
          </cell>
          <cell r="H968" t="str">
            <v>m2</v>
          </cell>
          <cell r="I968">
            <v>147.83551249999999</v>
          </cell>
          <cell r="K968">
            <v>177.402615</v>
          </cell>
          <cell r="O968">
            <v>312.61984000000001</v>
          </cell>
          <cell r="Q968">
            <v>253.3629</v>
          </cell>
          <cell r="S968">
            <v>0.89694000000000007</v>
          </cell>
          <cell r="U968">
            <v>58.36</v>
          </cell>
          <cell r="W968">
            <v>151</v>
          </cell>
        </row>
        <row r="969">
          <cell r="G969" t="str">
            <v>AU25; exc. 5.0m but ne 10.0m in length</v>
          </cell>
          <cell r="H969" t="str">
            <v>m2</v>
          </cell>
          <cell r="I969">
            <v>142.481425</v>
          </cell>
          <cell r="K969">
            <v>170.97771</v>
          </cell>
          <cell r="O969">
            <v>312.61984000000001</v>
          </cell>
          <cell r="Q969">
            <v>253.3629</v>
          </cell>
          <cell r="S969">
            <v>0.89694000000000007</v>
          </cell>
          <cell r="U969">
            <v>58.36</v>
          </cell>
          <cell r="W969">
            <v>151</v>
          </cell>
        </row>
        <row r="970">
          <cell r="G970" t="str">
            <v>AU25; exc. 10.0m but ne 15.0 m in length</v>
          </cell>
          <cell r="H970" t="str">
            <v>m2</v>
          </cell>
          <cell r="I970">
            <v>142.28844999999998</v>
          </cell>
          <cell r="K970">
            <v>170.74613999999997</v>
          </cell>
          <cell r="O970">
            <v>312.61984000000001</v>
          </cell>
          <cell r="Q970">
            <v>253.3629</v>
          </cell>
          <cell r="S970">
            <v>0.89694000000000007</v>
          </cell>
          <cell r="U970">
            <v>58.36</v>
          </cell>
          <cell r="W970">
            <v>151</v>
          </cell>
        </row>
        <row r="971">
          <cell r="G971" t="str">
            <v>AZ12; ne 5.0 m in length</v>
          </cell>
          <cell r="H971" t="str">
            <v>m2</v>
          </cell>
          <cell r="I971">
            <v>108.2675</v>
          </cell>
          <cell r="K971">
            <v>129.92099999999999</v>
          </cell>
          <cell r="M971">
            <v>113.72</v>
          </cell>
          <cell r="O971">
            <v>225.06016</v>
          </cell>
          <cell r="Q971">
            <v>166.1121</v>
          </cell>
          <cell r="S971">
            <v>0.58806000000000003</v>
          </cell>
          <cell r="U971">
            <v>58.36</v>
          </cell>
          <cell r="W971">
            <v>99</v>
          </cell>
        </row>
        <row r="972">
          <cell r="G972" t="str">
            <v>AZ12; exc. 5.0m but ne 10.0m in length</v>
          </cell>
          <cell r="H972" t="str">
            <v>m2</v>
          </cell>
          <cell r="I972">
            <v>102.68620833333334</v>
          </cell>
          <cell r="K972">
            <v>123.22345</v>
          </cell>
          <cell r="M972">
            <v>113.72</v>
          </cell>
          <cell r="O972">
            <v>225.06016</v>
          </cell>
          <cell r="Q972">
            <v>166.1121</v>
          </cell>
          <cell r="S972">
            <v>0.58806000000000003</v>
          </cell>
          <cell r="U972">
            <v>58.36</v>
          </cell>
          <cell r="W972">
            <v>99</v>
          </cell>
        </row>
        <row r="973">
          <cell r="G973" t="str">
            <v>AZ12; exc. 10.0m but ne 15.0 m in length</v>
          </cell>
          <cell r="H973" t="str">
            <v>m2</v>
          </cell>
          <cell r="I973">
            <v>102.67949166666666</v>
          </cell>
          <cell r="K973">
            <v>123.21538999999999</v>
          </cell>
          <cell r="M973">
            <v>113.72</v>
          </cell>
          <cell r="O973">
            <v>225.06016</v>
          </cell>
          <cell r="Q973">
            <v>166.1121</v>
          </cell>
          <cell r="S973">
            <v>0.58806000000000003</v>
          </cell>
          <cell r="U973">
            <v>58.36</v>
          </cell>
          <cell r="W973">
            <v>99</v>
          </cell>
        </row>
        <row r="974">
          <cell r="G974" t="str">
            <v>AZ14; ne 5.0 m in length</v>
          </cell>
          <cell r="H974" t="str">
            <v>m2</v>
          </cell>
          <cell r="I974">
            <v>123.14362500000001</v>
          </cell>
          <cell r="K974">
            <v>147.77235000000002</v>
          </cell>
          <cell r="M974">
            <v>114.75</v>
          </cell>
          <cell r="O974">
            <v>255.36928</v>
          </cell>
          <cell r="Q974">
            <v>196.3143</v>
          </cell>
          <cell r="S974">
            <v>0.69498000000000004</v>
          </cell>
          <cell r="U974">
            <v>58.36</v>
          </cell>
          <cell r="W974">
            <v>117</v>
          </cell>
        </row>
        <row r="975">
          <cell r="G975" t="str">
            <v>AZ14; exc. 5.0m but ne 10.0m in length</v>
          </cell>
          <cell r="H975" t="str">
            <v>m2</v>
          </cell>
          <cell r="I975">
            <v>117.50033333333332</v>
          </cell>
          <cell r="K975">
            <v>141.00039999999998</v>
          </cell>
          <cell r="M975">
            <v>114.75</v>
          </cell>
          <cell r="O975">
            <v>255.36928</v>
          </cell>
          <cell r="Q975">
            <v>196.3143</v>
          </cell>
          <cell r="S975">
            <v>0.69498000000000004</v>
          </cell>
          <cell r="U975">
            <v>58.36</v>
          </cell>
          <cell r="W975">
            <v>117</v>
          </cell>
        </row>
        <row r="976">
          <cell r="G976" t="str">
            <v>AZ14; exc. 10.0m but ne 15.0 m in length</v>
          </cell>
          <cell r="H976" t="str">
            <v>m2</v>
          </cell>
          <cell r="I976">
            <v>117.49025833333332</v>
          </cell>
          <cell r="K976">
            <v>140.98830999999998</v>
          </cell>
          <cell r="M976">
            <v>114.75</v>
          </cell>
          <cell r="O976">
            <v>255.36928</v>
          </cell>
          <cell r="Q976">
            <v>196.3143</v>
          </cell>
          <cell r="S976">
            <v>0.69498000000000004</v>
          </cell>
          <cell r="U976">
            <v>58.36</v>
          </cell>
          <cell r="W976">
            <v>117</v>
          </cell>
        </row>
        <row r="977">
          <cell r="G977" t="str">
            <v>AZ25; ne 5.0 m in length</v>
          </cell>
          <cell r="H977" t="str">
            <v>m2</v>
          </cell>
          <cell r="I977">
            <v>148.5167375</v>
          </cell>
          <cell r="K977">
            <v>178.22008500000001</v>
          </cell>
          <cell r="M977">
            <v>121.8</v>
          </cell>
          <cell r="O977">
            <v>302.51679999999999</v>
          </cell>
          <cell r="Q977">
            <v>243.2955</v>
          </cell>
          <cell r="S977">
            <v>0.86130000000000007</v>
          </cell>
          <cell r="U977">
            <v>58.36</v>
          </cell>
          <cell r="W977">
            <v>145</v>
          </cell>
        </row>
        <row r="978">
          <cell r="G978" t="str">
            <v>AZ25; exc. 5.0m but ne 10.0m in length</v>
          </cell>
          <cell r="H978" t="str">
            <v>m2</v>
          </cell>
          <cell r="I978">
            <v>144.27154583333333</v>
          </cell>
          <cell r="K978">
            <v>173.125855</v>
          </cell>
          <cell r="M978">
            <v>121.8</v>
          </cell>
          <cell r="O978">
            <v>302.51679999999999</v>
          </cell>
          <cell r="Q978">
            <v>243.2955</v>
          </cell>
          <cell r="S978">
            <v>0.86130000000000007</v>
          </cell>
          <cell r="U978">
            <v>58.36</v>
          </cell>
          <cell r="W978">
            <v>145</v>
          </cell>
        </row>
        <row r="979">
          <cell r="G979" t="str">
            <v>AZ25; exc. 10.0m but ne 15.0 m in length</v>
          </cell>
          <cell r="H979" t="str">
            <v>m2</v>
          </cell>
          <cell r="I979">
            <v>143.31622916666669</v>
          </cell>
          <cell r="K979">
            <v>171.97947500000001</v>
          </cell>
          <cell r="M979">
            <v>121.8</v>
          </cell>
          <cell r="O979">
            <v>302.51679999999999</v>
          </cell>
          <cell r="Q979">
            <v>243.2955</v>
          </cell>
          <cell r="S979">
            <v>0.86130000000000007</v>
          </cell>
          <cell r="U979">
            <v>58.36</v>
          </cell>
          <cell r="W979">
            <v>145</v>
          </cell>
        </row>
        <row r="980">
          <cell r="G980" t="str">
            <v>AZ34; ne 5.0 m in length</v>
          </cell>
          <cell r="H980" t="str">
            <v>m2</v>
          </cell>
          <cell r="I980">
            <v>179.64990833333334</v>
          </cell>
          <cell r="K980">
            <v>215.57989000000001</v>
          </cell>
          <cell r="M980">
            <v>145.16999999999999</v>
          </cell>
          <cell r="O980">
            <v>366.50272000000001</v>
          </cell>
          <cell r="Q980">
            <v>307.0557</v>
          </cell>
          <cell r="S980">
            <v>1.0870200000000001</v>
          </cell>
          <cell r="U980">
            <v>58.36</v>
          </cell>
          <cell r="W980">
            <v>183</v>
          </cell>
        </row>
        <row r="981">
          <cell r="G981" t="str">
            <v>AZ34; exc. 5.0m but ne 10.0m in length</v>
          </cell>
          <cell r="H981" t="str">
            <v>m2</v>
          </cell>
          <cell r="I981">
            <v>176.87075833333336</v>
          </cell>
          <cell r="K981">
            <v>212.24491000000003</v>
          </cell>
          <cell r="M981">
            <v>145.16999999999999</v>
          </cell>
          <cell r="O981">
            <v>366.50272000000001</v>
          </cell>
          <cell r="Q981">
            <v>307.0557</v>
          </cell>
          <cell r="S981">
            <v>1.0870200000000001</v>
          </cell>
          <cell r="U981">
            <v>58.36</v>
          </cell>
          <cell r="W981">
            <v>183</v>
          </cell>
        </row>
        <row r="982">
          <cell r="G982" t="str">
            <v>AZ34; exc. 10.0m but ne 15.0 m in length</v>
          </cell>
          <cell r="H982" t="str">
            <v>m2</v>
          </cell>
          <cell r="I982">
            <v>175.44708333333335</v>
          </cell>
          <cell r="K982">
            <v>210.53650000000002</v>
          </cell>
          <cell r="M982">
            <v>145.16999999999999</v>
          </cell>
          <cell r="O982">
            <v>366.50272000000001</v>
          </cell>
          <cell r="Q982">
            <v>307.0557</v>
          </cell>
          <cell r="S982">
            <v>1.0870200000000001</v>
          </cell>
          <cell r="U982">
            <v>58.36</v>
          </cell>
          <cell r="W982">
            <v>183</v>
          </cell>
        </row>
        <row r="983">
          <cell r="G983" t="str">
            <v>AZ50; ne 5.0 m in length</v>
          </cell>
          <cell r="H983" t="str">
            <v>m2</v>
          </cell>
          <cell r="I983">
            <v>237.91531250000003</v>
          </cell>
          <cell r="K983">
            <v>285.49837500000001</v>
          </cell>
          <cell r="O983">
            <v>484.37151999999998</v>
          </cell>
          <cell r="Q983">
            <v>424.50869999999998</v>
          </cell>
          <cell r="S983">
            <v>1.50282</v>
          </cell>
          <cell r="U983">
            <v>58.36</v>
          </cell>
          <cell r="W983">
            <v>253</v>
          </cell>
        </row>
        <row r="984">
          <cell r="G984" t="str">
            <v>AZ50; exc. 5.0m but ne 10.0m in length</v>
          </cell>
          <cell r="H984" t="str">
            <v>m2</v>
          </cell>
          <cell r="I984">
            <v>234.88725833333334</v>
          </cell>
          <cell r="K984">
            <v>281.86471</v>
          </cell>
          <cell r="O984">
            <v>484.37151999999998</v>
          </cell>
          <cell r="Q984">
            <v>424.50869999999998</v>
          </cell>
          <cell r="S984">
            <v>1.50282</v>
          </cell>
          <cell r="U984">
            <v>58.36</v>
          </cell>
          <cell r="W984">
            <v>253</v>
          </cell>
        </row>
        <row r="985">
          <cell r="G985" t="str">
            <v>AZ50; exc. 10.0m but ne 15.0 m in length</v>
          </cell>
          <cell r="H985" t="str">
            <v>m2</v>
          </cell>
          <cell r="I985">
            <v>233.21674583333336</v>
          </cell>
          <cell r="K985">
            <v>279.860095</v>
          </cell>
          <cell r="O985">
            <v>484.37151999999998</v>
          </cell>
          <cell r="Q985">
            <v>424.50869999999998</v>
          </cell>
          <cell r="S985">
            <v>1.50282</v>
          </cell>
          <cell r="U985">
            <v>58.36</v>
          </cell>
          <cell r="W985">
            <v>253</v>
          </cell>
        </row>
        <row r="986">
          <cell r="I986" t="str">
            <v/>
          </cell>
        </row>
        <row r="987">
          <cell r="G987" t="str">
            <v>&lt;Select&gt;</v>
          </cell>
          <cell r="I987" t="str">
            <v/>
          </cell>
        </row>
        <row r="988">
          <cell r="I988" t="str">
            <v/>
          </cell>
        </row>
        <row r="989">
          <cell r="G989" t="str">
            <v>&lt;Select&gt;</v>
          </cell>
          <cell r="I989" t="str">
            <v/>
          </cell>
        </row>
        <row r="990">
          <cell r="I990" t="str">
            <v/>
          </cell>
        </row>
        <row r="991">
          <cell r="G991" t="str">
            <v>&lt;Select&gt;</v>
          </cell>
          <cell r="I991" t="str">
            <v/>
          </cell>
        </row>
        <row r="992">
          <cell r="I992" t="str">
            <v/>
          </cell>
        </row>
        <row r="993">
          <cell r="G993" t="str">
            <v>&lt;Select&gt;</v>
          </cell>
          <cell r="I993" t="str">
            <v/>
          </cell>
        </row>
        <row r="994">
          <cell r="I994" t="str">
            <v/>
          </cell>
        </row>
        <row r="995">
          <cell r="G995" t="str">
            <v>&lt;Select&gt;</v>
          </cell>
          <cell r="I995" t="str">
            <v/>
          </cell>
        </row>
        <row r="996">
          <cell r="I996" t="str">
            <v/>
          </cell>
        </row>
        <row r="997">
          <cell r="G997" t="str">
            <v>&lt;Select&gt;</v>
          </cell>
          <cell r="I997" t="str">
            <v/>
          </cell>
        </row>
        <row r="998">
          <cell r="I998" t="str">
            <v/>
          </cell>
        </row>
        <row r="999">
          <cell r="G999" t="str">
            <v>&lt;Select&gt;</v>
          </cell>
          <cell r="I999" t="str">
            <v/>
          </cell>
        </row>
        <row r="1000">
          <cell r="I1000" t="str">
            <v/>
          </cell>
        </row>
        <row r="1001">
          <cell r="G1001" t="str">
            <v>&lt;Select&gt;</v>
          </cell>
          <cell r="I1001" t="str">
            <v/>
          </cell>
        </row>
        <row r="1002">
          <cell r="I1002" t="str">
            <v/>
          </cell>
        </row>
        <row r="1003">
          <cell r="G1003" t="str">
            <v>&lt;Select&gt;</v>
          </cell>
          <cell r="I1003" t="str">
            <v/>
          </cell>
        </row>
        <row r="1004">
          <cell r="I1004" t="str">
            <v/>
          </cell>
        </row>
        <row r="1005">
          <cell r="I1005" t="str">
            <v/>
          </cell>
        </row>
        <row r="1006">
          <cell r="I1006" t="str">
            <v/>
          </cell>
        </row>
        <row r="1007">
          <cell r="G1007" t="str">
            <v>&lt;Select&gt;</v>
          </cell>
          <cell r="I1007" t="str">
            <v/>
          </cell>
        </row>
        <row r="1008">
          <cell r="I1008" t="str">
            <v/>
          </cell>
        </row>
        <row r="1009">
          <cell r="G1009" t="str">
            <v>&lt;Select&gt;</v>
          </cell>
          <cell r="I1009" t="str">
            <v/>
          </cell>
        </row>
        <row r="1010">
          <cell r="G1010" t="str">
            <v xml:space="preserve">In situ concrete mix reference 40/20, total volume not exceeding 3m3 </v>
          </cell>
          <cell r="H1010" t="str">
            <v>m3</v>
          </cell>
          <cell r="I1010">
            <v>202.423413166025</v>
          </cell>
          <cell r="K1010">
            <v>218.14056380063491</v>
          </cell>
          <cell r="M1010">
            <v>120</v>
          </cell>
          <cell r="O1010">
            <v>422.44902500000001</v>
          </cell>
          <cell r="Q1010">
            <v>390.85402500000004</v>
          </cell>
          <cell r="S1010">
            <v>10.395000000000001</v>
          </cell>
          <cell r="U1010">
            <v>21.2</v>
          </cell>
          <cell r="W1010">
            <v>2250</v>
          </cell>
        </row>
        <row r="1011">
          <cell r="G1011" t="str">
            <v xml:space="preserve">In situ concrete mix reference 40/20, total volume exceeding 3m3 but not exceeding 6m3 </v>
          </cell>
          <cell r="H1011" t="str">
            <v>m3</v>
          </cell>
          <cell r="I1011">
            <v>159.70402621510414</v>
          </cell>
          <cell r="K1011">
            <v>166.2342580375076</v>
          </cell>
          <cell r="M1011">
            <v>130</v>
          </cell>
          <cell r="O1011">
            <v>420.09346944444445</v>
          </cell>
          <cell r="Q1011">
            <v>390.85402500000004</v>
          </cell>
          <cell r="S1011">
            <v>10.395000000000001</v>
          </cell>
          <cell r="U1011">
            <v>18.844444444444445</v>
          </cell>
          <cell r="W1011">
            <v>2250</v>
          </cell>
        </row>
        <row r="1012">
          <cell r="G1012" t="str">
            <v xml:space="preserve">In situ concrete mix reference 40/20, total volume exceeding 6m3 </v>
          </cell>
          <cell r="H1012" t="str">
            <v>m3</v>
          </cell>
          <cell r="I1012">
            <v>126.16471795785</v>
          </cell>
          <cell r="K1012">
            <v>127.70236385540855</v>
          </cell>
          <cell r="M1012">
            <v>105</v>
          </cell>
          <cell r="O1012">
            <v>418.209025</v>
          </cell>
          <cell r="Q1012">
            <v>390.85402500000004</v>
          </cell>
          <cell r="S1012">
            <v>10.395000000000001</v>
          </cell>
          <cell r="U1012">
            <v>16.96</v>
          </cell>
          <cell r="W1012">
            <v>2250</v>
          </cell>
        </row>
        <row r="1013">
          <cell r="G1013" t="str">
            <v xml:space="preserve">In situ concrete mix reference 40/20, Design Sulfate Class 3, 4 or 5, total volume not exceeding 3m3 </v>
          </cell>
          <cell r="H1013" t="str">
            <v>m3</v>
          </cell>
          <cell r="I1013">
            <v>209.57685312277499</v>
          </cell>
          <cell r="K1013">
            <v>226.86680904030104</v>
          </cell>
          <cell r="M1013">
            <v>140</v>
          </cell>
          <cell r="O1013">
            <v>422.44902500000001</v>
          </cell>
          <cell r="Q1013">
            <v>390.85402500000004</v>
          </cell>
          <cell r="S1013">
            <v>10.395000000000001</v>
          </cell>
          <cell r="U1013">
            <v>21.2</v>
          </cell>
          <cell r="W1013">
            <v>2250</v>
          </cell>
        </row>
        <row r="1014">
          <cell r="G1014" t="str">
            <v xml:space="preserve">In situ concrete mix reference 50/20, total volume exceeding 3m3 but not exceeding 6m3 </v>
          </cell>
          <cell r="H1014" t="str">
            <v>m3</v>
          </cell>
          <cell r="I1014">
            <v>165.177573163175</v>
          </cell>
          <cell r="K1014">
            <v>171.35798476090687</v>
          </cell>
          <cell r="M1014">
            <v>130</v>
          </cell>
          <cell r="O1014">
            <v>420.09346944444445</v>
          </cell>
          <cell r="Q1014">
            <v>390.85402500000004</v>
          </cell>
          <cell r="S1014">
            <v>10.395000000000001</v>
          </cell>
          <cell r="U1014">
            <v>18.844444444444445</v>
          </cell>
          <cell r="W1014">
            <v>2250</v>
          </cell>
        </row>
        <row r="1015">
          <cell r="G1015" t="str">
            <v xml:space="preserve">In situ concrete mix ST4, total volume not exceeding 3m3 </v>
          </cell>
          <cell r="H1015" t="str">
            <v>m3</v>
          </cell>
          <cell r="I1015">
            <v>180.022177190375</v>
          </cell>
          <cell r="K1015">
            <v>192.5664139785178</v>
          </cell>
          <cell r="M1015">
            <v>130</v>
          </cell>
          <cell r="O1015">
            <v>422.44902500000001</v>
          </cell>
          <cell r="Q1015">
            <v>390.85402500000004</v>
          </cell>
          <cell r="S1015">
            <v>10.395000000000001</v>
          </cell>
          <cell r="U1015">
            <v>21.2</v>
          </cell>
          <cell r="W1015">
            <v>2250</v>
          </cell>
        </row>
        <row r="1016">
          <cell r="G1016" t="str">
            <v xml:space="preserve">In situ concrete mix ST1 in blinding 75mm or less in thickness, total volume exceeding 3m3 but not exceeding 6m3  </v>
          </cell>
          <cell r="H1016" t="str">
            <v>m3</v>
          </cell>
          <cell r="I1016">
            <v>158.78153403025001</v>
          </cell>
          <cell r="K1016">
            <v>167.28804125507085</v>
          </cell>
          <cell r="M1016">
            <v>110.59</v>
          </cell>
          <cell r="O1016">
            <v>431.36566999999997</v>
          </cell>
          <cell r="Q1016">
            <v>399.53967</v>
          </cell>
          <cell r="S1016">
            <v>10.626000000000001</v>
          </cell>
          <cell r="U1016">
            <v>21.2</v>
          </cell>
          <cell r="W1016">
            <v>2300</v>
          </cell>
        </row>
        <row r="1017">
          <cell r="G1017" t="str">
            <v xml:space="preserve">In situ concrete mix reference 30/20, total volume not exceeding 3m3 </v>
          </cell>
          <cell r="H1017" t="str">
            <v>m3</v>
          </cell>
          <cell r="I1017">
            <v>206.46522823552496</v>
          </cell>
          <cell r="K1017">
            <v>223.48606159542726</v>
          </cell>
          <cell r="M1017">
            <v>106.98</v>
          </cell>
          <cell r="O1017">
            <v>422.44902500000001</v>
          </cell>
          <cell r="Q1017">
            <v>390.85402500000004</v>
          </cell>
          <cell r="S1017">
            <v>10.395000000000001</v>
          </cell>
          <cell r="U1017">
            <v>21.2</v>
          </cell>
          <cell r="W1017">
            <v>2250</v>
          </cell>
        </row>
        <row r="1018">
          <cell r="G1018" t="str">
            <v xml:space="preserve">In situ concrete mix reference 30/20, total volume exceeding 3m3 but not exceeding 6m3 </v>
          </cell>
          <cell r="H1018" t="str">
            <v>m3</v>
          </cell>
          <cell r="I1018">
            <v>158.31465961614165</v>
          </cell>
          <cell r="K1018">
            <v>164.31348010968205</v>
          </cell>
          <cell r="M1018">
            <v>105.36</v>
          </cell>
          <cell r="O1018">
            <v>420.09346944444445</v>
          </cell>
          <cell r="Q1018">
            <v>390.85402500000004</v>
          </cell>
          <cell r="S1018">
            <v>10.395000000000001</v>
          </cell>
          <cell r="U1018">
            <v>18.844444444444445</v>
          </cell>
          <cell r="W1018">
            <v>2250</v>
          </cell>
        </row>
        <row r="1019">
          <cell r="G1019" t="str">
            <v xml:space="preserve">In situ concrete mix reference 30/20, total volume exceeding 6m3 </v>
          </cell>
          <cell r="H1019" t="str">
            <v>m3</v>
          </cell>
          <cell r="I1019">
            <v>125.26718544694999</v>
          </cell>
          <cell r="K1019">
            <v>126.57167844367719</v>
          </cell>
          <cell r="M1019">
            <v>105.36</v>
          </cell>
          <cell r="O1019">
            <v>418.209025</v>
          </cell>
          <cell r="Q1019">
            <v>390.85402500000004</v>
          </cell>
          <cell r="S1019">
            <v>10.395000000000001</v>
          </cell>
          <cell r="U1019">
            <v>16.96</v>
          </cell>
          <cell r="W1019">
            <v>2250</v>
          </cell>
        </row>
        <row r="1020">
          <cell r="G1020" t="str">
            <v xml:space="preserve">In situ concrete mix reference 40/20, air entrained, total volume not exceeding 3m3 </v>
          </cell>
          <cell r="H1020" t="str">
            <v>m3</v>
          </cell>
          <cell r="I1020">
            <v>209.97993978792502</v>
          </cell>
          <cell r="K1020">
            <v>227.49009235397963</v>
          </cell>
          <cell r="M1020">
            <v>140</v>
          </cell>
          <cell r="O1020">
            <v>422.44902500000001</v>
          </cell>
          <cell r="Q1020">
            <v>390.85402500000004</v>
          </cell>
          <cell r="S1020">
            <v>10.395000000000001</v>
          </cell>
          <cell r="U1020">
            <v>21.2</v>
          </cell>
          <cell r="W1020">
            <v>2250</v>
          </cell>
        </row>
        <row r="1021">
          <cell r="G1021" t="str">
            <v xml:space="preserve">In situ concrete mix reference 40/20, air entrained, total volume exceeding 3m3 but not exceeding 6m3 </v>
          </cell>
          <cell r="H1021" t="str">
            <v>m3</v>
          </cell>
          <cell r="I1021">
            <v>162.66837323154166</v>
          </cell>
          <cell r="K1021">
            <v>169.33568099030785</v>
          </cell>
          <cell r="M1021">
            <v>135</v>
          </cell>
          <cell r="O1021">
            <v>420.09346944444445</v>
          </cell>
          <cell r="Q1021">
            <v>390.85402500000004</v>
          </cell>
          <cell r="S1021">
            <v>10.395000000000001</v>
          </cell>
          <cell r="U1021">
            <v>18.844444444444445</v>
          </cell>
          <cell r="W1021">
            <v>2250</v>
          </cell>
        </row>
        <row r="1022">
          <cell r="G1022" t="str">
            <v xml:space="preserve">In situ concrete mix reference 40/20, air entrained, total volume exceeding 6m3 </v>
          </cell>
          <cell r="H1022" t="str">
            <v>m3</v>
          </cell>
          <cell r="I1022">
            <v>128.80628716675</v>
          </cell>
          <cell r="K1022">
            <v>130.37674757346636</v>
          </cell>
          <cell r="M1022">
            <v>120</v>
          </cell>
          <cell r="O1022">
            <v>418.209025</v>
          </cell>
          <cell r="Q1022">
            <v>390.85402500000004</v>
          </cell>
          <cell r="S1022">
            <v>10.395000000000001</v>
          </cell>
          <cell r="U1022">
            <v>16.96</v>
          </cell>
          <cell r="W1022">
            <v>2250</v>
          </cell>
        </row>
        <row r="1023">
          <cell r="I1023" t="str">
            <v/>
          </cell>
        </row>
        <row r="1024">
          <cell r="G1024" t="str">
            <v>&lt;Select&gt;</v>
          </cell>
          <cell r="I1024" t="str">
            <v/>
          </cell>
        </row>
        <row r="1025">
          <cell r="G1025" t="str">
            <v>Precast concrete members in P6 Parapet units, concrete mix reference 50/20, length of each unit not exceeding 2.5m, number of units up to 10 units</v>
          </cell>
          <cell r="H1025" t="str">
            <v>nr</v>
          </cell>
          <cell r="I1025">
            <v>1456.0562452906713</v>
          </cell>
          <cell r="K1025">
            <v>2456.4103573110265</v>
          </cell>
        </row>
        <row r="1026">
          <cell r="G1026" t="str">
            <v>Pretensioned prestressed beam, section Y1, 700mm deep, mass 742 Kg/m</v>
          </cell>
          <cell r="H1026" t="str">
            <v>m</v>
          </cell>
          <cell r="I1026">
            <v>210.12</v>
          </cell>
          <cell r="K1026">
            <v>252.14400000000001</v>
          </cell>
          <cell r="O1026">
            <v>170.94832</v>
          </cell>
          <cell r="Q1026">
            <v>159.53</v>
          </cell>
          <cell r="S1026">
            <v>2.93832</v>
          </cell>
          <cell r="U1026">
            <v>8.48</v>
          </cell>
          <cell r="W1026">
            <v>742</v>
          </cell>
        </row>
        <row r="1027">
          <cell r="G1027" t="str">
            <v>Pretensioned prestressed beam, section Y2, 800mm deep, mass 816 Kg/m</v>
          </cell>
          <cell r="H1027" t="str">
            <v>m</v>
          </cell>
          <cell r="I1027">
            <v>231.2</v>
          </cell>
          <cell r="K1027">
            <v>277.44</v>
          </cell>
          <cell r="O1027">
            <v>187.15135999999998</v>
          </cell>
          <cell r="Q1027">
            <v>175.44</v>
          </cell>
          <cell r="S1027">
            <v>3.2313600000000005</v>
          </cell>
          <cell r="U1027">
            <v>8.48</v>
          </cell>
          <cell r="W1027">
            <v>816</v>
          </cell>
        </row>
        <row r="1028">
          <cell r="G1028" t="str">
            <v>Pretensioned prestressed beam, section Y3, 900mm deep, mass 898 Kg/m</v>
          </cell>
          <cell r="H1028" t="str">
            <v>m</v>
          </cell>
          <cell r="I1028">
            <v>254.32</v>
          </cell>
          <cell r="K1028">
            <v>305.18399999999997</v>
          </cell>
          <cell r="O1028">
            <v>205.10607999999999</v>
          </cell>
          <cell r="Q1028">
            <v>193.07</v>
          </cell>
          <cell r="S1028">
            <v>3.5560800000000001</v>
          </cell>
          <cell r="U1028">
            <v>8.48</v>
          </cell>
          <cell r="W1028">
            <v>898</v>
          </cell>
        </row>
        <row r="1029">
          <cell r="G1029" t="str">
            <v>Pretensioned prestressed beam, section Y4, 1000mm deep, mass 984 Kg/m</v>
          </cell>
          <cell r="H1029" t="str">
            <v>m</v>
          </cell>
          <cell r="I1029">
            <v>278.8</v>
          </cell>
          <cell r="K1029">
            <v>334.56</v>
          </cell>
          <cell r="O1029">
            <v>223.93663999999998</v>
          </cell>
          <cell r="Q1029">
            <v>211.56</v>
          </cell>
          <cell r="S1029">
            <v>3.8966400000000001</v>
          </cell>
          <cell r="U1029">
            <v>8.48</v>
          </cell>
          <cell r="W1029">
            <v>984</v>
          </cell>
        </row>
        <row r="1030">
          <cell r="G1030" t="str">
            <v>Pretensioned prestressed beam, section Y5, 1100mm deep, mass 1078 Kg/m</v>
          </cell>
          <cell r="H1030" t="str">
            <v>m</v>
          </cell>
          <cell r="I1030">
            <v>305.32</v>
          </cell>
          <cell r="K1030">
            <v>366.38399999999996</v>
          </cell>
          <cell r="O1030">
            <v>244.51888</v>
          </cell>
          <cell r="Q1030">
            <v>231.77</v>
          </cell>
          <cell r="S1030">
            <v>4.2688800000000002</v>
          </cell>
          <cell r="U1030">
            <v>8.48</v>
          </cell>
          <cell r="W1030">
            <v>1078</v>
          </cell>
        </row>
        <row r="1031">
          <cell r="G1031" t="str">
            <v>Pretensioned prestressed beam, section Y6, 1200mm deep, mass 1178 Kg/m</v>
          </cell>
          <cell r="H1031" t="str">
            <v>m</v>
          </cell>
          <cell r="I1031">
            <v>333.88</v>
          </cell>
          <cell r="K1031">
            <v>400.65600000000001</v>
          </cell>
          <cell r="O1031">
            <v>266.41488000000004</v>
          </cell>
          <cell r="Q1031">
            <v>253.27</v>
          </cell>
          <cell r="S1031">
            <v>4.6648800000000001</v>
          </cell>
          <cell r="U1031">
            <v>8.48</v>
          </cell>
          <cell r="W1031">
            <v>1178</v>
          </cell>
        </row>
        <row r="1032">
          <cell r="G1032" t="str">
            <v>Pretensioned prestressed beam, section Y7, 1300mm deep, mass 1289 Kg/m</v>
          </cell>
          <cell r="H1032" t="str">
            <v>m</v>
          </cell>
          <cell r="I1032">
            <v>365.16</v>
          </cell>
          <cell r="K1032">
            <v>438.19200000000001</v>
          </cell>
          <cell r="O1032">
            <v>290.71944000000002</v>
          </cell>
          <cell r="Q1032">
            <v>277.13499999999999</v>
          </cell>
          <cell r="S1032">
            <v>5.1044400000000003</v>
          </cell>
          <cell r="U1032">
            <v>8.48</v>
          </cell>
          <cell r="W1032">
            <v>1289</v>
          </cell>
        </row>
        <row r="1033">
          <cell r="G1033" t="str">
            <v>Pretensioned prestressed beam, section Y8, 1400mm deep, mass 1404 Kg/m</v>
          </cell>
          <cell r="H1033" t="str">
            <v>m</v>
          </cell>
          <cell r="I1033">
            <v>397.8</v>
          </cell>
          <cell r="K1033">
            <v>477.36</v>
          </cell>
          <cell r="O1033">
            <v>315.89984000000004</v>
          </cell>
          <cell r="Q1033">
            <v>301.86</v>
          </cell>
          <cell r="S1033">
            <v>5.5598400000000003</v>
          </cell>
          <cell r="U1033">
            <v>8.48</v>
          </cell>
          <cell r="W1033">
            <v>1404</v>
          </cell>
        </row>
        <row r="1034">
          <cell r="G1034" t="str">
            <v>Pretensioned prestressed beam, section SY1, 1500mm deep, mass 1318 Kg/m</v>
          </cell>
          <cell r="H1034" t="str">
            <v>m</v>
          </cell>
          <cell r="I1034">
            <v>373.32</v>
          </cell>
          <cell r="K1034">
            <v>447.98399999999998</v>
          </cell>
          <cell r="O1034">
            <v>297.06928000000005</v>
          </cell>
          <cell r="Q1034">
            <v>283.37</v>
          </cell>
          <cell r="S1034">
            <v>5.2192800000000004</v>
          </cell>
          <cell r="U1034">
            <v>8.48</v>
          </cell>
          <cell r="W1034">
            <v>1318</v>
          </cell>
        </row>
        <row r="1035">
          <cell r="G1035" t="str">
            <v>Pretensioned prestressed beam, section SY2, 1600mm deep, mass 1394 Kg/m</v>
          </cell>
          <cell r="H1035" t="str">
            <v>m</v>
          </cell>
          <cell r="I1035">
            <v>395.08</v>
          </cell>
          <cell r="K1035">
            <v>474.09599999999995</v>
          </cell>
          <cell r="O1035">
            <v>313.71024</v>
          </cell>
          <cell r="Q1035">
            <v>299.70999999999998</v>
          </cell>
          <cell r="S1035">
            <v>5.5202400000000003</v>
          </cell>
          <cell r="U1035">
            <v>8.48</v>
          </cell>
          <cell r="W1035">
            <v>1394</v>
          </cell>
        </row>
        <row r="1036">
          <cell r="G1036" t="str">
            <v>Pretensioned prestressed beam, section SY3, 1700mm deep, mass 1471 Kg/m</v>
          </cell>
          <cell r="H1036" t="str">
            <v>m</v>
          </cell>
          <cell r="I1036">
            <v>416.84</v>
          </cell>
          <cell r="K1036">
            <v>500.20799999999997</v>
          </cell>
          <cell r="O1036">
            <v>330.57015999999999</v>
          </cell>
          <cell r="Q1036">
            <v>316.26499999999999</v>
          </cell>
          <cell r="S1036">
            <v>5.8251600000000003</v>
          </cell>
          <cell r="U1036">
            <v>8.48</v>
          </cell>
          <cell r="W1036">
            <v>1471</v>
          </cell>
        </row>
        <row r="1037">
          <cell r="G1037" t="str">
            <v>Pretensioned prestressed beam, section SY4, 1800mm deep, mass 1548 Kg/m</v>
          </cell>
          <cell r="H1037" t="str">
            <v>m</v>
          </cell>
          <cell r="I1037">
            <v>438.6</v>
          </cell>
          <cell r="K1037">
            <v>526.32000000000005</v>
          </cell>
          <cell r="O1037">
            <v>347.43008000000003</v>
          </cell>
          <cell r="Q1037">
            <v>332.82</v>
          </cell>
          <cell r="S1037">
            <v>6.1300800000000004</v>
          </cell>
          <cell r="U1037">
            <v>8.48</v>
          </cell>
          <cell r="W1037">
            <v>1548</v>
          </cell>
        </row>
        <row r="1038">
          <cell r="G1038" t="str">
            <v>Pretensioned prestressed beam, section SY5, 1900mm deep, mass 1625 Kg/m</v>
          </cell>
          <cell r="H1038" t="str">
            <v>m</v>
          </cell>
          <cell r="I1038">
            <v>460.36</v>
          </cell>
          <cell r="K1038">
            <v>552.43200000000002</v>
          </cell>
          <cell r="O1038">
            <v>364.29</v>
          </cell>
          <cell r="Q1038">
            <v>349.375</v>
          </cell>
          <cell r="S1038">
            <v>6.4350000000000005</v>
          </cell>
          <cell r="U1038">
            <v>8.48</v>
          </cell>
          <cell r="W1038">
            <v>1625</v>
          </cell>
        </row>
        <row r="1039">
          <cell r="G1039" t="str">
            <v>Pretensioned prestressed beam, section SY6, 2000mm deep, mass 1702 Kg/m</v>
          </cell>
          <cell r="H1039" t="str">
            <v>m</v>
          </cell>
          <cell r="I1039">
            <v>482.12</v>
          </cell>
          <cell r="K1039">
            <v>578.54399999999998</v>
          </cell>
          <cell r="O1039">
            <v>381.14992000000001</v>
          </cell>
          <cell r="Q1039">
            <v>365.93</v>
          </cell>
          <cell r="S1039">
            <v>6.7399200000000006</v>
          </cell>
          <cell r="U1039">
            <v>8.48</v>
          </cell>
          <cell r="W1039">
            <v>1702</v>
          </cell>
        </row>
        <row r="1040">
          <cell r="G1040" t="str">
            <v>Pretensioned prestressed beam, section U7, 1100mm deep, mass 1356 Kg/m</v>
          </cell>
          <cell r="H1040" t="str">
            <v>m</v>
          </cell>
          <cell r="I1040">
            <v>384.2</v>
          </cell>
          <cell r="K1040">
            <v>461.04</v>
          </cell>
          <cell r="O1040">
            <v>305.38976000000002</v>
          </cell>
          <cell r="Q1040">
            <v>291.54000000000002</v>
          </cell>
          <cell r="S1040">
            <v>5.3697600000000003</v>
          </cell>
          <cell r="U1040">
            <v>8.48</v>
          </cell>
          <cell r="W1040">
            <v>1356</v>
          </cell>
        </row>
        <row r="1041">
          <cell r="G1041" t="str">
            <v>Pretensioned prestressed beam, section U8, 1200mm deep, mass 1435 Kg/m</v>
          </cell>
          <cell r="H1041" t="str">
            <v>m</v>
          </cell>
          <cell r="I1041">
            <v>406.64</v>
          </cell>
          <cell r="K1041">
            <v>487.96799999999996</v>
          </cell>
          <cell r="O1041">
            <v>322.68759999999997</v>
          </cell>
          <cell r="Q1041">
            <v>308.52499999999998</v>
          </cell>
          <cell r="S1041">
            <v>5.6826000000000008</v>
          </cell>
          <cell r="U1041">
            <v>8.48</v>
          </cell>
          <cell r="W1041">
            <v>1435</v>
          </cell>
        </row>
        <row r="1042">
          <cell r="G1042" t="str">
            <v>Pretensioned prestressed beam, section U9, 1300mm deep, mass 1514 Kg/m</v>
          </cell>
          <cell r="H1042" t="str">
            <v>m</v>
          </cell>
          <cell r="I1042">
            <v>429.08</v>
          </cell>
          <cell r="K1042">
            <v>514.89599999999996</v>
          </cell>
          <cell r="O1042">
            <v>339.98543999999998</v>
          </cell>
          <cell r="Q1042">
            <v>325.51</v>
          </cell>
          <cell r="S1042">
            <v>5.9954400000000003</v>
          </cell>
          <cell r="U1042">
            <v>8.48</v>
          </cell>
          <cell r="W1042">
            <v>1514</v>
          </cell>
        </row>
        <row r="1043">
          <cell r="G1043" t="str">
            <v>Pretensioned prestressed beam, section U10, 1400mm deep, mass 1594 Kg/m</v>
          </cell>
          <cell r="H1043" t="str">
            <v>m</v>
          </cell>
          <cell r="I1043">
            <v>451.52</v>
          </cell>
          <cell r="K1043">
            <v>541.82399999999996</v>
          </cell>
          <cell r="O1043">
            <v>357.50223999999997</v>
          </cell>
          <cell r="Q1043">
            <v>342.71</v>
          </cell>
          <cell r="S1043">
            <v>6.3122400000000001</v>
          </cell>
          <cell r="U1043">
            <v>8.48</v>
          </cell>
          <cell r="W1043">
            <v>1594</v>
          </cell>
        </row>
        <row r="1044">
          <cell r="G1044" t="str">
            <v>Pretensioned prestressed beam, section U11, 1500mm deep, mass 1673 Kg/m</v>
          </cell>
          <cell r="H1044" t="str">
            <v>m</v>
          </cell>
          <cell r="I1044">
            <v>473.96</v>
          </cell>
          <cell r="K1044">
            <v>568.75199999999995</v>
          </cell>
          <cell r="O1044">
            <v>374.80008000000004</v>
          </cell>
          <cell r="Q1044">
            <v>359.69499999999999</v>
          </cell>
          <cell r="S1044">
            <v>6.6250800000000005</v>
          </cell>
          <cell r="U1044">
            <v>8.48</v>
          </cell>
          <cell r="W1044">
            <v>1673</v>
          </cell>
        </row>
        <row r="1045">
          <cell r="G1045" t="str">
            <v>Pretensioned prestressed beam, section U12, 1600mm deep, mass 1752 Kg/m</v>
          </cell>
          <cell r="H1045" t="str">
            <v>m</v>
          </cell>
          <cell r="I1045">
            <v>496.4</v>
          </cell>
          <cell r="K1045">
            <v>595.67999999999995</v>
          </cell>
          <cell r="O1045">
            <v>392.09792000000004</v>
          </cell>
          <cell r="Q1045">
            <v>376.68</v>
          </cell>
          <cell r="S1045">
            <v>6.937920000000001</v>
          </cell>
          <cell r="U1045">
            <v>8.48</v>
          </cell>
          <cell r="W1045">
            <v>1752</v>
          </cell>
        </row>
        <row r="1047">
          <cell r="I1047" t="str">
            <v/>
          </cell>
        </row>
        <row r="1048">
          <cell r="G1048" t="str">
            <v>&lt;Select&gt;</v>
          </cell>
          <cell r="I1048" t="str">
            <v/>
          </cell>
        </row>
        <row r="1049">
          <cell r="G1049" t="str">
            <v>Formwork Class F1 horizontal more than 300mm wide</v>
          </cell>
          <cell r="H1049" t="str">
            <v>m2</v>
          </cell>
          <cell r="I1049">
            <v>100.15510230104999</v>
          </cell>
          <cell r="K1049">
            <v>122.19740753157238</v>
          </cell>
          <cell r="M1049">
            <v>52.01</v>
          </cell>
          <cell r="O1049">
            <v>139.91966020000004</v>
          </cell>
          <cell r="Q1049">
            <v>95.251588200000029</v>
          </cell>
          <cell r="S1049">
            <v>0.46807200000000004</v>
          </cell>
          <cell r="U1049">
            <v>44.2</v>
          </cell>
          <cell r="W1049">
            <v>177.3</v>
          </cell>
        </row>
        <row r="1050">
          <cell r="G1050" t="str">
            <v>Formwork Class F1 inclined more than 300mm wide</v>
          </cell>
          <cell r="H1050" t="str">
            <v>m2</v>
          </cell>
          <cell r="I1050">
            <v>111.42020935775001</v>
          </cell>
          <cell r="K1050">
            <v>142.27467460404469</v>
          </cell>
          <cell r="M1050">
            <v>56.94</v>
          </cell>
          <cell r="O1050">
            <v>139.91966020000004</v>
          </cell>
          <cell r="Q1050">
            <v>95.251588200000029</v>
          </cell>
          <cell r="S1050">
            <v>0.46807200000000004</v>
          </cell>
          <cell r="U1050">
            <v>44.2</v>
          </cell>
          <cell r="W1050">
            <v>177.3</v>
          </cell>
        </row>
        <row r="1051">
          <cell r="G1051" t="str">
            <v>Formwork Class F1 vertical more than 300mm wide</v>
          </cell>
          <cell r="H1051" t="str">
            <v>m2</v>
          </cell>
          <cell r="I1051">
            <v>72.713298426899996</v>
          </cell>
          <cell r="K1051">
            <v>76.701325354835717</v>
          </cell>
          <cell r="M1051">
            <v>62.78</v>
          </cell>
          <cell r="O1051">
            <v>150.96966020000002</v>
          </cell>
          <cell r="Q1051">
            <v>95.251588200000029</v>
          </cell>
          <cell r="S1051">
            <v>0.46807200000000004</v>
          </cell>
          <cell r="U1051">
            <v>55.25</v>
          </cell>
          <cell r="W1051">
            <v>177.3</v>
          </cell>
        </row>
        <row r="1052">
          <cell r="G1052" t="str">
            <v>Formwork Class F1 300mm wide or less at any inclination</v>
          </cell>
          <cell r="H1052" t="str">
            <v>m2</v>
          </cell>
          <cell r="I1052">
            <v>91.048603109924997</v>
          </cell>
          <cell r="K1052">
            <v>95.742578290089682</v>
          </cell>
          <cell r="M1052">
            <v>71.72</v>
          </cell>
          <cell r="O1052">
            <v>162.01966020000003</v>
          </cell>
          <cell r="Q1052">
            <v>95.251588200000029</v>
          </cell>
          <cell r="S1052">
            <v>0.46807200000000004</v>
          </cell>
          <cell r="U1052">
            <v>66.3</v>
          </cell>
          <cell r="W1052">
            <v>177.3</v>
          </cell>
        </row>
        <row r="1053">
          <cell r="G1053" t="str">
            <v>Formwork Class F2 horizontal more than 300mm wide</v>
          </cell>
          <cell r="H1053" t="str">
            <v>m2</v>
          </cell>
          <cell r="I1053">
            <v>87.902497311624998</v>
          </cell>
          <cell r="K1053">
            <v>94.50508584145021</v>
          </cell>
          <cell r="M1053">
            <v>59.02</v>
          </cell>
          <cell r="O1053">
            <v>139.91966020000004</v>
          </cell>
          <cell r="Q1053">
            <v>95.251588200000029</v>
          </cell>
          <cell r="S1053">
            <v>0.46807200000000004</v>
          </cell>
          <cell r="U1053">
            <v>44.2</v>
          </cell>
          <cell r="W1053">
            <v>177.3</v>
          </cell>
        </row>
        <row r="1054">
          <cell r="G1054" t="str">
            <v>Formwork Class F2 inclined more than 300mm wide</v>
          </cell>
          <cell r="H1054" t="str">
            <v>m2</v>
          </cell>
          <cell r="I1054">
            <v>94.018088736224996</v>
          </cell>
          <cell r="K1054">
            <v>102.19597237844022</v>
          </cell>
          <cell r="M1054">
            <v>68.040000000000006</v>
          </cell>
          <cell r="O1054">
            <v>139.91966020000004</v>
          </cell>
          <cell r="Q1054">
            <v>95.251588200000029</v>
          </cell>
          <cell r="S1054">
            <v>0.46807200000000004</v>
          </cell>
          <cell r="U1054">
            <v>44.2</v>
          </cell>
          <cell r="W1054">
            <v>177.3</v>
          </cell>
        </row>
        <row r="1055">
          <cell r="G1055" t="str">
            <v>Formwork Class F2 vertical more than 300mm wide</v>
          </cell>
          <cell r="H1055" t="str">
            <v>m2</v>
          </cell>
          <cell r="I1055">
            <v>77.98956411097501</v>
          </cell>
          <cell r="K1055">
            <v>82.704798898391829</v>
          </cell>
          <cell r="M1055">
            <v>73.92</v>
          </cell>
          <cell r="O1055">
            <v>150.96966020000002</v>
          </cell>
          <cell r="Q1055">
            <v>95.251588200000029</v>
          </cell>
          <cell r="S1055">
            <v>0.46807200000000004</v>
          </cell>
          <cell r="U1055">
            <v>55.25</v>
          </cell>
          <cell r="W1055">
            <v>177.3</v>
          </cell>
        </row>
        <row r="1056">
          <cell r="G1056" t="str">
            <v>Formwork Class F 300mm wide or less at any inclination</v>
          </cell>
          <cell r="H1056" t="str">
            <v>m2</v>
          </cell>
          <cell r="I1056">
            <v>94.585738077000016</v>
          </cell>
          <cell r="K1056">
            <v>99.750942589099807</v>
          </cell>
          <cell r="M1056">
            <v>82.85</v>
          </cell>
          <cell r="O1056">
            <v>162.01966020000003</v>
          </cell>
          <cell r="Q1056">
            <v>95.251588200000029</v>
          </cell>
          <cell r="S1056">
            <v>0.46807200000000004</v>
          </cell>
          <cell r="U1056">
            <v>66.3</v>
          </cell>
          <cell r="W1056">
            <v>177.3</v>
          </cell>
        </row>
        <row r="1057">
          <cell r="G1057" t="str">
            <v>Formwork Class F3 horizontal more than 300mm wide</v>
          </cell>
          <cell r="H1057" t="str">
            <v>m2</v>
          </cell>
          <cell r="I1057">
            <v>101.82871903185001</v>
          </cell>
          <cell r="K1057">
            <v>116.19680123346632</v>
          </cell>
          <cell r="M1057">
            <v>63.09</v>
          </cell>
          <cell r="O1057">
            <v>139.91966020000004</v>
          </cell>
          <cell r="Q1057">
            <v>95.251588200000029</v>
          </cell>
          <cell r="S1057">
            <v>0.46807200000000004</v>
          </cell>
          <cell r="U1057">
            <v>44.2</v>
          </cell>
          <cell r="W1057">
            <v>177.3</v>
          </cell>
        </row>
        <row r="1058">
          <cell r="G1058" t="str">
            <v>Formwork Class F3 inclined more than 300mm wide</v>
          </cell>
          <cell r="H1058" t="str">
            <v>m2</v>
          </cell>
          <cell r="I1058">
            <v>110.180075982575</v>
          </cell>
          <cell r="K1058">
            <v>126.75206209447749</v>
          </cell>
          <cell r="M1058">
            <v>72.11</v>
          </cell>
          <cell r="O1058">
            <v>139.91966020000004</v>
          </cell>
          <cell r="Q1058">
            <v>95.251588200000029</v>
          </cell>
          <cell r="S1058">
            <v>0.46807200000000004</v>
          </cell>
          <cell r="U1058">
            <v>44.2</v>
          </cell>
          <cell r="W1058">
            <v>177.3</v>
          </cell>
        </row>
        <row r="1059">
          <cell r="G1059" t="str">
            <v>Formwork Class F3 vertical more than 300mm wide</v>
          </cell>
          <cell r="H1059" t="str">
            <v>m2</v>
          </cell>
          <cell r="I1059">
            <v>86.683316834924995</v>
          </cell>
          <cell r="K1059">
            <v>93.008857054591161</v>
          </cell>
          <cell r="M1059">
            <v>77.989999999999995</v>
          </cell>
          <cell r="O1059">
            <v>150.96966020000002</v>
          </cell>
          <cell r="Q1059">
            <v>95.251588200000029</v>
          </cell>
          <cell r="S1059">
            <v>0.46807200000000004</v>
          </cell>
          <cell r="U1059">
            <v>55.25</v>
          </cell>
          <cell r="W1059">
            <v>177.3</v>
          </cell>
        </row>
        <row r="1060">
          <cell r="G1060" t="str">
            <v>Formwork Class F3 300mm wide or less at any inclination</v>
          </cell>
          <cell r="H1060" t="str">
            <v>m2</v>
          </cell>
          <cell r="I1060">
            <v>103.90187786244999</v>
          </cell>
          <cell r="K1060">
            <v>110.31861437384757</v>
          </cell>
          <cell r="M1060">
            <v>86.92</v>
          </cell>
          <cell r="O1060">
            <v>162.01966020000003</v>
          </cell>
          <cell r="Q1060">
            <v>95.251588200000029</v>
          </cell>
          <cell r="S1060">
            <v>0.46807200000000004</v>
          </cell>
          <cell r="U1060">
            <v>66.3</v>
          </cell>
          <cell r="W1060">
            <v>177.3</v>
          </cell>
        </row>
        <row r="1061">
          <cell r="G1061" t="str">
            <v>Formwork Class F3 curved of both girth and width more than 300mm at any inclination</v>
          </cell>
          <cell r="H1061" t="str">
            <v>m2</v>
          </cell>
          <cell r="I1061">
            <v>142.20497712005002</v>
          </cell>
          <cell r="K1061">
            <v>154.78806528849896</v>
          </cell>
          <cell r="M1061">
            <v>110.82</v>
          </cell>
          <cell r="O1061">
            <v>178.59466020000002</v>
          </cell>
          <cell r="Q1061">
            <v>95.251588200000029</v>
          </cell>
          <cell r="S1061">
            <v>0.46807200000000004</v>
          </cell>
          <cell r="U1061">
            <v>82.875</v>
          </cell>
          <cell r="W1061">
            <v>177.3</v>
          </cell>
        </row>
        <row r="1062">
          <cell r="G1062" t="str">
            <v>Formwork Class F3 curved of both girth and width 300mm or less at any inclination</v>
          </cell>
          <cell r="H1062" t="str">
            <v>m2</v>
          </cell>
          <cell r="I1062">
            <v>153.93584854767499</v>
          </cell>
          <cell r="K1062">
            <v>165.15120097925453</v>
          </cell>
          <cell r="M1062">
            <v>91.65</v>
          </cell>
          <cell r="O1062">
            <v>178.59466020000002</v>
          </cell>
          <cell r="Q1062">
            <v>95.251588200000029</v>
          </cell>
          <cell r="S1062">
            <v>0.46807200000000004</v>
          </cell>
          <cell r="U1062">
            <v>82.875</v>
          </cell>
          <cell r="W1062">
            <v>177.3</v>
          </cell>
        </row>
        <row r="1063">
          <cell r="I1063" t="str">
            <v/>
          </cell>
        </row>
        <row r="1064">
          <cell r="G1064" t="str">
            <v>&lt;Select&gt;</v>
          </cell>
          <cell r="I1064" t="str">
            <v/>
          </cell>
        </row>
        <row r="1065">
          <cell r="G1065" t="str">
            <v xml:space="preserve">Patterned profile formwork, vertical, depth of troughs, ribs, or corrugations not exceeding 75mm, width not exceeding 100mm  </v>
          </cell>
          <cell r="H1065" t="str">
            <v>m2</v>
          </cell>
          <cell r="I1065">
            <v>118.14128903772502</v>
          </cell>
          <cell r="K1065">
            <v>120.91856893930698</v>
          </cell>
          <cell r="M1065">
            <v>112.84</v>
          </cell>
        </row>
        <row r="1066">
          <cell r="I1066" t="str">
            <v/>
          </cell>
        </row>
        <row r="1067">
          <cell r="G1067" t="str">
            <v>&lt;Select&gt;</v>
          </cell>
          <cell r="I1067" t="str">
            <v/>
          </cell>
        </row>
        <row r="1068">
          <cell r="G1068" t="str">
            <v>High yield steel deformed type 2 bar reinforcement nominal size 16mm and under not exceeding 12 metres in length</v>
          </cell>
          <cell r="H1068" t="str">
            <v>tn</v>
          </cell>
          <cell r="I1068">
            <v>1167.8670853339502</v>
          </cell>
          <cell r="K1068">
            <v>1181.9482471106369</v>
          </cell>
          <cell r="M1068">
            <v>1334.83</v>
          </cell>
          <cell r="O1068">
            <v>2203.9899999999998</v>
          </cell>
          <cell r="Q1068">
            <v>1841.2099999999998</v>
          </cell>
          <cell r="S1068">
            <v>5.28</v>
          </cell>
          <cell r="U1068">
            <v>357.5</v>
          </cell>
          <cell r="W1068">
            <v>1000</v>
          </cell>
        </row>
        <row r="1069">
          <cell r="G1069" t="str">
            <v>High yield steel deformed type 2 bar reinforcement nominal size 20mm and over not exceeding 12 metres in length</v>
          </cell>
          <cell r="H1069" t="str">
            <v>tn</v>
          </cell>
          <cell r="I1069">
            <v>989.49471636235489</v>
          </cell>
          <cell r="K1069">
            <v>998.67999740253083</v>
          </cell>
          <cell r="M1069">
            <v>1086.54</v>
          </cell>
          <cell r="O1069">
            <v>2203.9899999999998</v>
          </cell>
          <cell r="Q1069">
            <v>1841.2099999999998</v>
          </cell>
          <cell r="S1069">
            <v>5.28</v>
          </cell>
          <cell r="U1069">
            <v>357.5</v>
          </cell>
          <cell r="W1069">
            <v>1000</v>
          </cell>
        </row>
        <row r="1070">
          <cell r="G1070" t="str">
            <v xml:space="preserve">Square mesh fabric, A393, 6.16kg/m2 </v>
          </cell>
          <cell r="H1070" t="str">
            <v>m2</v>
          </cell>
          <cell r="I1070">
            <v>46.294273879999999</v>
          </cell>
          <cell r="K1070">
            <v>113.73580316801802</v>
          </cell>
          <cell r="M1070">
            <v>13.53</v>
          </cell>
          <cell r="O1070">
            <v>11.374378399999998</v>
          </cell>
          <cell r="Q1070">
            <v>11.341853599999999</v>
          </cell>
          <cell r="S1070">
            <v>3.2524800000000006E-2</v>
          </cell>
          <cell r="U1070">
            <v>0</v>
          </cell>
          <cell r="W1070">
            <v>6.16</v>
          </cell>
        </row>
        <row r="1071">
          <cell r="G1071" t="str">
            <v xml:space="preserve">Welded steel fabric reinforcement D98, 1.54kg/m2 </v>
          </cell>
          <cell r="H1071" t="str">
            <v>m2</v>
          </cell>
          <cell r="I1071">
            <v>6.3609177012</v>
          </cell>
          <cell r="K1071">
            <v>6.8050280589071299</v>
          </cell>
          <cell r="M1071">
            <v>4.3099999999999996</v>
          </cell>
          <cell r="O1071">
            <v>2.8435945999999994</v>
          </cell>
          <cell r="Q1071">
            <v>2.8354633999999996</v>
          </cell>
          <cell r="S1071">
            <v>8.1312000000000016E-3</v>
          </cell>
          <cell r="U1071">
            <v>0</v>
          </cell>
          <cell r="W1071">
            <v>1.54</v>
          </cell>
        </row>
        <row r="1072">
          <cell r="G1072" t="str">
            <v>High yield steel helical reinforcement nominal size 16mm and under</v>
          </cell>
          <cell r="H1072" t="str">
            <v>tn</v>
          </cell>
          <cell r="I1072">
            <v>1371.1281530492499</v>
          </cell>
          <cell r="K1072">
            <v>1398.4679294088107</v>
          </cell>
          <cell r="M1072">
            <v>1396.77</v>
          </cell>
          <cell r="O1072">
            <v>2203.9899999999998</v>
          </cell>
          <cell r="Q1072">
            <v>1841.2099999999998</v>
          </cell>
          <cell r="S1072">
            <v>5.28</v>
          </cell>
          <cell r="U1072">
            <v>357.5</v>
          </cell>
          <cell r="W1072">
            <v>1000</v>
          </cell>
        </row>
        <row r="1073">
          <cell r="G1073" t="str">
            <v>Dowels 20mm diameter, stainless steel, 600mm long or less</v>
          </cell>
          <cell r="H1073" t="str">
            <v>nr</v>
          </cell>
          <cell r="I1073">
            <v>19.743376886375003</v>
          </cell>
          <cell r="K1073">
            <v>22.277975451381536</v>
          </cell>
          <cell r="M1073">
            <v>15.47</v>
          </cell>
          <cell r="O1073">
            <v>2.7697349999999994</v>
          </cell>
          <cell r="Q1073">
            <v>2.7618149999999995</v>
          </cell>
          <cell r="S1073">
            <v>7.92E-3</v>
          </cell>
          <cell r="U1073">
            <v>0</v>
          </cell>
          <cell r="W1073">
            <v>1.5</v>
          </cell>
        </row>
        <row r="1074">
          <cell r="G1074" t="str">
            <v>Dowels 20mm diameter, stainless steel, exceeding 600mm but not exceeding 1800mm in length</v>
          </cell>
          <cell r="H1074" t="str">
            <v>nr</v>
          </cell>
          <cell r="I1074">
            <v>36.326876688425003</v>
          </cell>
          <cell r="K1074">
            <v>40.959903925867692</v>
          </cell>
          <cell r="M1074">
            <v>39</v>
          </cell>
          <cell r="O1074">
            <v>5.5394699999999988</v>
          </cell>
          <cell r="Q1074">
            <v>5.5236299999999989</v>
          </cell>
          <cell r="S1074">
            <v>1.584E-2</v>
          </cell>
          <cell r="U1074">
            <v>0</v>
          </cell>
          <cell r="W1074">
            <v>3</v>
          </cell>
        </row>
        <row r="1075">
          <cell r="I1075" t="str">
            <v/>
          </cell>
        </row>
        <row r="1076">
          <cell r="G1076" t="str">
            <v>&lt;Select&gt;</v>
          </cell>
          <cell r="I1076" t="str">
            <v/>
          </cell>
        </row>
        <row r="1077">
          <cell r="G1077" t="str">
            <v>Establishment of plant for removal of concrete by hand held mechanical tools</v>
          </cell>
          <cell r="H1077" t="str">
            <v>item</v>
          </cell>
          <cell r="I1077">
            <v>856.88701989726178</v>
          </cell>
          <cell r="K1077">
            <v>1000.1110877444437</v>
          </cell>
        </row>
        <row r="1078">
          <cell r="G1078" t="str">
            <v xml:space="preserve">Establishment of plant for removal of concrete by waterjetting </v>
          </cell>
          <cell r="H1078" t="str">
            <v>item</v>
          </cell>
          <cell r="I1078">
            <v>1259.1962630701557</v>
          </cell>
          <cell r="K1078">
            <v>1401.0455386780916</v>
          </cell>
        </row>
        <row r="1079">
          <cell r="G1079" t="str">
            <v>Establishment of plant for repairs using proprietary high flow concrete</v>
          </cell>
          <cell r="H1079" t="str">
            <v>item</v>
          </cell>
          <cell r="I1079">
            <v>1199.8554142056612</v>
          </cell>
          <cell r="K1079">
            <v>1348.8291160240105</v>
          </cell>
        </row>
        <row r="1080">
          <cell r="G1080" t="str">
            <v>Establishment of plant for repairs using proprietary sprayed concrete</v>
          </cell>
          <cell r="H1080" t="str">
            <v>item</v>
          </cell>
          <cell r="I1080">
            <v>1919.1585235483137</v>
          </cell>
          <cell r="K1080">
            <v>2159.9965578969427</v>
          </cell>
        </row>
        <row r="1081">
          <cell r="G1081" t="str">
            <v>Establishment of plant for repairs using proprietary mortar</v>
          </cell>
          <cell r="H1081" t="str">
            <v>item</v>
          </cell>
          <cell r="I1081">
            <v>1181.8269142056613</v>
          </cell>
          <cell r="K1081">
            <v>1352.9953620988927</v>
          </cell>
        </row>
        <row r="1082">
          <cell r="G1082" t="str">
            <v>Establishment of plant for repairs using resin injection</v>
          </cell>
          <cell r="H1082" t="str">
            <v>item</v>
          </cell>
          <cell r="I1082">
            <v>1097.6369047199332</v>
          </cell>
          <cell r="K1082">
            <v>1291.9283821135036</v>
          </cell>
        </row>
        <row r="1083">
          <cell r="I1083" t="str">
            <v/>
          </cell>
        </row>
        <row r="1084">
          <cell r="G1084" t="str">
            <v>&lt;Select&gt;</v>
          </cell>
          <cell r="I1084" t="str">
            <v/>
          </cell>
        </row>
        <row r="1085">
          <cell r="G1085" t="str">
            <v>Removal of concrete by hand held mechanical tools, decks and vertical surfaces to piers, columns and abutments (Up to 1000 ltrs)</v>
          </cell>
          <cell r="H1085" t="str">
            <v>lt</v>
          </cell>
          <cell r="I1085">
            <v>2.3523180966678128</v>
          </cell>
          <cell r="K1085">
            <v>2.8315143492056216</v>
          </cell>
        </row>
        <row r="1086">
          <cell r="G1086" t="str">
            <v>Removal of concrete by hand held mechanical tools, decks and vertical surfaces to piers, columns and abutments (Over 1m3 but not exceeding 3m3)</v>
          </cell>
          <cell r="H1086" t="str">
            <v>m3</v>
          </cell>
          <cell r="I1086">
            <v>1762.239087928335</v>
          </cell>
          <cell r="K1086">
            <v>1873.9831939352587</v>
          </cell>
        </row>
        <row r="1087">
          <cell r="G1087" t="str">
            <v>Removal of concrete by hand held mechanical tools, sides and soffits of beams and crossheads (Up to 1000 ltrs)</v>
          </cell>
          <cell r="H1087" t="str">
            <v>lt</v>
          </cell>
          <cell r="I1087">
            <v>2.5786610355552502</v>
          </cell>
          <cell r="K1087">
            <v>3.0069988902285343</v>
          </cell>
        </row>
        <row r="1088">
          <cell r="I1088" t="str">
            <v/>
          </cell>
        </row>
        <row r="1089">
          <cell r="G1089" t="str">
            <v>&lt;Select&gt;</v>
          </cell>
          <cell r="I1089" t="str">
            <v/>
          </cell>
        </row>
        <row r="1090">
          <cell r="G1090" t="str">
            <v>Extra over for removal of concrete by high pressure waterjetting, decks and vertical surfaces to piers, columns and abutments (Up to 1000 ltrs)</v>
          </cell>
          <cell r="H1090" t="str">
            <v>lt</v>
          </cell>
          <cell r="I1090">
            <v>1.2805847176012499</v>
          </cell>
          <cell r="K1090">
            <v>2.0584534758023252</v>
          </cell>
        </row>
        <row r="1091">
          <cell r="G1091" t="str">
            <v>Extra over for removal of concrete by high pressure waterjetting, decks and vertical surfaces to piers, columns and abutments (Over 1m3 but not exceeding 3m3)</v>
          </cell>
          <cell r="H1091" t="str">
            <v>m3</v>
          </cell>
          <cell r="I1091">
            <v>954.47659093078744</v>
          </cell>
          <cell r="K1091">
            <v>1465.4207848547269</v>
          </cell>
        </row>
        <row r="1092">
          <cell r="G1092" t="str">
            <v>Extra over for removal of concrete by high pressure waterjetting, sides and soffits of beams and crossheads (Up to 1000 ltrs)</v>
          </cell>
          <cell r="H1092" t="str">
            <v>lt</v>
          </cell>
          <cell r="I1092">
            <v>1.2859199468012501</v>
          </cell>
          <cell r="K1092">
            <v>2.0582897157425366</v>
          </cell>
        </row>
        <row r="1093">
          <cell r="I1093" t="str">
            <v/>
          </cell>
        </row>
        <row r="1094">
          <cell r="G1094" t="str">
            <v>&lt;Select&gt;</v>
          </cell>
          <cell r="I1094" t="str">
            <v/>
          </cell>
        </row>
        <row r="1095">
          <cell r="G1095" t="str">
            <v>Reinstatement works using proprietary high flow concrete, decks and vertical surfaces to piers, columns and abutments (Up to 1000 ltrs)</v>
          </cell>
          <cell r="H1095" t="str">
            <v>lt</v>
          </cell>
          <cell r="I1095">
            <v>4.3495143685325006</v>
          </cell>
          <cell r="K1095">
            <v>4.7227653511855108</v>
          </cell>
        </row>
        <row r="1096">
          <cell r="G1096" t="str">
            <v>Reinstatement works using proprietary high flow concrete, decks and vertical surfaces of piers, columns and abutments (over 1m3 but not exceeding 3m3)</v>
          </cell>
          <cell r="H1096" t="str">
            <v>m3</v>
          </cell>
          <cell r="I1096">
            <v>3644.580675216926</v>
          </cell>
          <cell r="K1096">
            <v>3755.3773566220202</v>
          </cell>
        </row>
        <row r="1097">
          <cell r="G1097" t="str">
            <v>Reinstatement works using proprietary high flow concrete, sides and soffits of beams and crossheads,  (Up to 1000 ltrs)</v>
          </cell>
          <cell r="H1097" t="str">
            <v>lt</v>
          </cell>
          <cell r="I1097">
            <v>4.987410249651969</v>
          </cell>
          <cell r="K1097">
            <v>5.2629344473630733</v>
          </cell>
        </row>
        <row r="1098">
          <cell r="G1098" t="str">
            <v>Reinstatement works using proprietary high flow concrete, sides and soffits of beams and crossheads (over 1m3 but not exceeding 3m3)</v>
          </cell>
          <cell r="H1098" t="str">
            <v>m3</v>
          </cell>
          <cell r="I1098">
            <v>4395.1970835147113</v>
          </cell>
          <cell r="K1098">
            <v>4677.6754289281243</v>
          </cell>
        </row>
        <row r="1099">
          <cell r="G1099" t="str">
            <v>Reinstatement works using proprietary sprayed concrete, sides and soffits of beams and crossheads,  (Up to 3m3)</v>
          </cell>
          <cell r="H1099" t="str">
            <v>m3</v>
          </cell>
          <cell r="I1099">
            <v>3534.4585588508462</v>
          </cell>
          <cell r="K1099">
            <v>3893.7382328403146</v>
          </cell>
        </row>
        <row r="1100">
          <cell r="G1100" t="str">
            <v>Reinstatement works using proprietary mortar, decks and vertical surfaces to piers, columns and abutments (Up to 1000 ltrs)</v>
          </cell>
          <cell r="H1100" t="str">
            <v>lt</v>
          </cell>
          <cell r="I1100">
            <v>5.0713830546519683</v>
          </cell>
          <cell r="K1100">
            <v>5.4366488241188762</v>
          </cell>
        </row>
        <row r="1101">
          <cell r="G1101" t="str">
            <v>Reinstatement works using proprietary mortar, sides and soffits of beams and crossheads,  (Up to 1000 ltrs)</v>
          </cell>
          <cell r="H1101" t="str">
            <v>lt</v>
          </cell>
          <cell r="I1101">
            <v>5.614359129357374</v>
          </cell>
          <cell r="K1101">
            <v>6.1538293175444716</v>
          </cell>
        </row>
        <row r="1102">
          <cell r="I1102" t="str">
            <v/>
          </cell>
        </row>
        <row r="1103">
          <cell r="G1103" t="str">
            <v>&lt;Select&gt;</v>
          </cell>
          <cell r="I1103" t="str">
            <v/>
          </cell>
        </row>
        <row r="1104">
          <cell r="G1104" t="str">
            <v>Extra over for stainless steel fibres to sprayed concrete</v>
          </cell>
          <cell r="H1104" t="str">
            <v>m3</v>
          </cell>
          <cell r="I1104">
            <v>280.67387583530285</v>
          </cell>
          <cell r="K1104">
            <v>343.73404167142462</v>
          </cell>
        </row>
        <row r="1105">
          <cell r="I1105" t="str">
            <v/>
          </cell>
        </row>
        <row r="1106">
          <cell r="G1106" t="str">
            <v>&lt;Select&gt;</v>
          </cell>
          <cell r="I1106" t="str">
            <v/>
          </cell>
        </row>
        <row r="1107">
          <cell r="G1107" t="str">
            <v>Formwork for concrete repairs Class F3 horizontal more than 300mm wide</v>
          </cell>
          <cell r="H1107" t="str">
            <v>m2</v>
          </cell>
          <cell r="I1107">
            <v>141.45457187164999</v>
          </cell>
          <cell r="K1107">
            <v>154.98722672941463</v>
          </cell>
        </row>
        <row r="1108">
          <cell r="G1108" t="str">
            <v>Formwork for concrete repairs Class F3 inclined more than 300mm wide</v>
          </cell>
          <cell r="H1108" t="str">
            <v>m2</v>
          </cell>
          <cell r="I1108">
            <v>147.85338365864999</v>
          </cell>
          <cell r="K1108">
            <v>163.70177517693818</v>
          </cell>
        </row>
        <row r="1109">
          <cell r="G1109" t="str">
            <v>Formwork for concrete repairs Class F3 vertical more than 300mm wide</v>
          </cell>
          <cell r="H1109" t="str">
            <v>m2</v>
          </cell>
          <cell r="I1109">
            <v>150.48465085765</v>
          </cell>
          <cell r="K1109">
            <v>163.48298928337189</v>
          </cell>
        </row>
        <row r="1110">
          <cell r="G1110" t="str">
            <v>Formwork for concrete repairs Class F3 300mm wide or less at any inclination</v>
          </cell>
          <cell r="H1110" t="str">
            <v>m2</v>
          </cell>
          <cell r="I1110">
            <v>160.61100945164998</v>
          </cell>
          <cell r="K1110">
            <v>177.37728210830247</v>
          </cell>
        </row>
        <row r="1111">
          <cell r="G1111" t="str">
            <v>Formwork for concrete repairs Class F3 curved of both girth and width more than 300mm at any inclination</v>
          </cell>
          <cell r="H1111" t="str">
            <v>m2</v>
          </cell>
          <cell r="I1111">
            <v>185.53276963902499</v>
          </cell>
          <cell r="K1111">
            <v>197.80904474719284</v>
          </cell>
        </row>
        <row r="1112">
          <cell r="G1112" t="str">
            <v>Formwork for concrete repairs Class F3 curved of both girth and width 300mm or less at any inclination</v>
          </cell>
          <cell r="H1112" t="str">
            <v>m2</v>
          </cell>
          <cell r="I1112">
            <v>192.69044707602498</v>
          </cell>
          <cell r="K1112">
            <v>209.52445444134321</v>
          </cell>
        </row>
        <row r="1113">
          <cell r="I1113" t="str">
            <v/>
          </cell>
        </row>
        <row r="1114">
          <cell r="G1114" t="str">
            <v>&lt;Select&gt;</v>
          </cell>
          <cell r="I1114" t="str">
            <v/>
          </cell>
        </row>
        <row r="1115">
          <cell r="G1115" t="str">
            <v>High yield steel deformed type 2 bar reinforcement in concrete repairs nominal size 16mm and under not exceeding 12 metres in length</v>
          </cell>
          <cell r="H1115" t="str">
            <v>tn</v>
          </cell>
          <cell r="I1115">
            <v>5316.5737031314602</v>
          </cell>
          <cell r="K1115">
            <v>10816.015607775766</v>
          </cell>
          <cell r="O1115">
            <v>2561.4899999999998</v>
          </cell>
          <cell r="Q1115">
            <v>1841.2099999999998</v>
          </cell>
          <cell r="S1115">
            <v>5.28</v>
          </cell>
          <cell r="U1115">
            <v>715</v>
          </cell>
          <cell r="W1115">
            <v>1000</v>
          </cell>
        </row>
        <row r="1116">
          <cell r="G1116" t="str">
            <v>High yield steel deformed type 2 bar reinforcement in concrete repairs nominal size 20mm and over not exceeding 12 metres in length</v>
          </cell>
          <cell r="H1116" t="str">
            <v>tn</v>
          </cell>
          <cell r="I1116">
            <v>4424.8036551435116</v>
          </cell>
          <cell r="K1116">
            <v>8733.9178919165988</v>
          </cell>
          <cell r="O1116">
            <v>2561.4899999999998</v>
          </cell>
          <cell r="Q1116">
            <v>1841.2099999999998</v>
          </cell>
          <cell r="S1116">
            <v>5.28</v>
          </cell>
          <cell r="U1116">
            <v>715</v>
          </cell>
          <cell r="W1116">
            <v>1000</v>
          </cell>
        </row>
        <row r="1117">
          <cell r="I1117" t="str">
            <v/>
          </cell>
        </row>
        <row r="1118">
          <cell r="G1118" t="str">
            <v>&lt;Select&gt;</v>
          </cell>
          <cell r="I1118" t="str">
            <v/>
          </cell>
        </row>
        <row r="1119">
          <cell r="G1119" t="str">
            <v>Resin injection, decks and vertical surfaces of piers, columns and abutments</v>
          </cell>
          <cell r="H1119" t="str">
            <v>m</v>
          </cell>
          <cell r="I1119">
            <v>70.913583666971107</v>
          </cell>
          <cell r="K1119">
            <v>77.923199790311017</v>
          </cell>
        </row>
        <row r="1120">
          <cell r="G1120" t="str">
            <v xml:space="preserve">Resin injection, sides and soffits of beams and crossheads </v>
          </cell>
          <cell r="H1120" t="str">
            <v>m</v>
          </cell>
          <cell r="I1120">
            <v>84.337154418631087</v>
          </cell>
          <cell r="K1120">
            <v>95.368492074140647</v>
          </cell>
        </row>
        <row r="1121">
          <cell r="I1121" t="str">
            <v/>
          </cell>
        </row>
        <row r="1122">
          <cell r="G1122" t="str">
            <v>&lt;Select&gt;</v>
          </cell>
          <cell r="I1122" t="str">
            <v/>
          </cell>
        </row>
        <row r="1123">
          <cell r="G1123" t="str">
            <v xml:space="preserve">Establishment of plant for cover meter survey </v>
          </cell>
          <cell r="H1123" t="str">
            <v>item</v>
          </cell>
          <cell r="I1123">
            <v>312.45441443116704</v>
          </cell>
          <cell r="K1123">
            <v>439.44603997271668</v>
          </cell>
        </row>
        <row r="1124">
          <cell r="G1124" t="str">
            <v xml:space="preserve">Establishment of plant for carbonation testing </v>
          </cell>
          <cell r="H1124" t="str">
            <v>item</v>
          </cell>
          <cell r="I1124">
            <v>208.66729043042503</v>
          </cell>
          <cell r="K1124">
            <v>253.25450992379191</v>
          </cell>
        </row>
        <row r="1125">
          <cell r="G1125" t="str">
            <v>Establishment of plant for rotary coring of structures</v>
          </cell>
          <cell r="H1125" t="str">
            <v>item</v>
          </cell>
          <cell r="I1125">
            <v>344.78876418116704</v>
          </cell>
          <cell r="K1125">
            <v>467.35898823859736</v>
          </cell>
        </row>
        <row r="1126">
          <cell r="G1126" t="str">
            <v>Establishment of plant for half-cell testing</v>
          </cell>
          <cell r="H1126" t="str">
            <v>item</v>
          </cell>
          <cell r="I1126">
            <v>312.28876418116704</v>
          </cell>
          <cell r="K1126">
            <v>439.40234852286051</v>
          </cell>
        </row>
        <row r="1127">
          <cell r="G1127" t="str">
            <v>Establishment of plant for resistivity testing</v>
          </cell>
          <cell r="H1127" t="str">
            <v>item</v>
          </cell>
          <cell r="I1127">
            <v>208.62832168042502</v>
          </cell>
          <cell r="K1127">
            <v>253.19238916628635</v>
          </cell>
        </row>
        <row r="1128">
          <cell r="G1128" t="str">
            <v>Establishment of plant for sampling for chloride content</v>
          </cell>
          <cell r="H1128" t="str">
            <v>item</v>
          </cell>
          <cell r="I1128">
            <v>312.28876418116704</v>
          </cell>
          <cell r="K1128">
            <v>439.40234852286051</v>
          </cell>
        </row>
        <row r="1129">
          <cell r="I1129" t="str">
            <v/>
          </cell>
        </row>
        <row r="1130">
          <cell r="G1130" t="str">
            <v>&lt;Select&gt;</v>
          </cell>
          <cell r="I1130" t="str">
            <v/>
          </cell>
        </row>
        <row r="1131">
          <cell r="G1131" t="str">
            <v>Testing of concrete, cover meter survey, 500mm x 500mm grid</v>
          </cell>
          <cell r="H1131" t="str">
            <v>m2</v>
          </cell>
          <cell r="I1131">
            <v>6.3842070344887194</v>
          </cell>
          <cell r="K1131">
            <v>12.387966127538343</v>
          </cell>
        </row>
        <row r="1132">
          <cell r="G1132" t="str">
            <v>Testing of concrete, carbonation testing, 500mm x 500mm grid</v>
          </cell>
          <cell r="H1132" t="str">
            <v>m2</v>
          </cell>
          <cell r="I1132">
            <v>4.1087450921924686</v>
          </cell>
          <cell r="K1132">
            <v>5.4556396318122458</v>
          </cell>
        </row>
        <row r="1133">
          <cell r="G1133" t="str">
            <v>Testing of concrete, rotary coring in existing concrete structures 100mm diameter not exceeding 150mm in length</v>
          </cell>
          <cell r="H1133" t="str">
            <v>nr</v>
          </cell>
          <cell r="I1133">
            <v>61.805267133521227</v>
          </cell>
          <cell r="K1133">
            <v>69.690793477964363</v>
          </cell>
        </row>
        <row r="1134">
          <cell r="G1134" t="str">
            <v>Testing of concrete, rotary coring in existing concrete structures 100mm diameter exceeding 150mm but not exceeding 300mm in length</v>
          </cell>
          <cell r="H1134" t="str">
            <v>nr</v>
          </cell>
          <cell r="I1134">
            <v>71.476647383521225</v>
          </cell>
          <cell r="K1134">
            <v>82.191582457868947</v>
          </cell>
        </row>
        <row r="1135">
          <cell r="G1135" t="str">
            <v>Testing of concrete, rotary coring in existing concrete structures 100mm diameter exceeding  300mm in length</v>
          </cell>
          <cell r="H1135" t="str">
            <v>nr</v>
          </cell>
          <cell r="I1135">
            <v>82.750873008521225</v>
          </cell>
          <cell r="K1135">
            <v>97.626125356803868</v>
          </cell>
        </row>
        <row r="1136">
          <cell r="G1136" t="str">
            <v>Testing of concrete, half-cell potentials, 500mm x 500mm grid</v>
          </cell>
          <cell r="H1136" t="str">
            <v>m2</v>
          </cell>
          <cell r="I1136">
            <v>6.7967323018287189</v>
          </cell>
          <cell r="K1136">
            <v>12.536819427073004</v>
          </cell>
        </row>
        <row r="1137">
          <cell r="G1137" t="str">
            <v>Testing of concrete, resistivity, 500mm x 500mm grid</v>
          </cell>
          <cell r="H1137" t="str">
            <v>m2</v>
          </cell>
          <cell r="I1137">
            <v>7.3196615765508746</v>
          </cell>
          <cell r="K1137">
            <v>10.606657434864404</v>
          </cell>
        </row>
        <row r="1138">
          <cell r="G1138" t="str">
            <v>Testing of concrete for chloride content testing for depths exceeding 5mm but not exceeding 30mm</v>
          </cell>
          <cell r="H1138" t="str">
            <v>nr</v>
          </cell>
          <cell r="I1138">
            <v>10.527982154276875</v>
          </cell>
          <cell r="K1138">
            <v>11.749461173385255</v>
          </cell>
        </row>
        <row r="1139">
          <cell r="G1139" t="str">
            <v>Sampling concrete for chloride content testing for depths exceeding 30mm but not exceeding 80mm</v>
          </cell>
          <cell r="H1139" t="str">
            <v>nr</v>
          </cell>
          <cell r="I1139">
            <v>18.920550265408892</v>
          </cell>
          <cell r="K1139">
            <v>25.016572260153108</v>
          </cell>
        </row>
        <row r="1140">
          <cell r="G1140" t="str">
            <v>Sampling concrete for chloride content testing for depths exceeding 80mm</v>
          </cell>
          <cell r="H1140" t="str">
            <v>nr</v>
          </cell>
          <cell r="I1140">
            <v>11.017556734676875</v>
          </cell>
          <cell r="K1140">
            <v>12.400693646867149</v>
          </cell>
        </row>
        <row r="1141">
          <cell r="I1141" t="str">
            <v/>
          </cell>
        </row>
        <row r="1142">
          <cell r="I1142" t="str">
            <v/>
          </cell>
        </row>
        <row r="1143">
          <cell r="I1143" t="str">
            <v/>
          </cell>
        </row>
        <row r="1144">
          <cell r="G1144" t="str">
            <v>&lt;Select&gt;</v>
          </cell>
          <cell r="I1144" t="str">
            <v/>
          </cell>
        </row>
        <row r="1145">
          <cell r="I1145" t="str">
            <v/>
          </cell>
        </row>
        <row r="1146">
          <cell r="G1146" t="str">
            <v>&lt;Select&gt;</v>
          </cell>
          <cell r="I1146" t="str">
            <v/>
          </cell>
        </row>
        <row r="1147">
          <cell r="G1147" t="str">
            <v>Fabrication of main members comprising hot rolled open sections to BS EN 10025, universal beams, universal columns, angles, channels, joists, tees, total weight not exceeding 10 tonnes</v>
          </cell>
          <cell r="H1147" t="str">
            <v>t</v>
          </cell>
          <cell r="I1147">
            <v>3369.8736275414999</v>
          </cell>
          <cell r="K1147">
            <v>3707.4342730041872</v>
          </cell>
        </row>
        <row r="1148">
          <cell r="G1148" t="str">
            <v>Fabrication of main members comprising hot rolled open sections to BS EN 10025, universal beams, universal columns, angles, channels, joists, tees, total weight exceeding 50 tonnes but not exceeding 200 tonnes</v>
          </cell>
          <cell r="H1148" t="str">
            <v>t</v>
          </cell>
          <cell r="I1148">
            <v>3263.0458842454377</v>
          </cell>
          <cell r="K1148">
            <v>3611.312581897992</v>
          </cell>
        </row>
        <row r="1149">
          <cell r="G1149" t="str">
            <v>Fabrication of main members comprising hot rolled closed sections to BS EN 10025, yield stress 355N/mm2, circular, square and rectangular hollow sections, total weight not exceeding 10 tonnes</v>
          </cell>
          <cell r="H1149" t="str">
            <v>t</v>
          </cell>
          <cell r="I1149">
            <v>2992.5840906475651</v>
          </cell>
          <cell r="K1149">
            <v>3229.636030449537</v>
          </cell>
        </row>
        <row r="1150">
          <cell r="G1150" t="str">
            <v>Fabrication of main members comprising hot rolled closed sections to BS EN 10025, yield stress 355N/mm2, circular, square and rectangular hollow sections, total weight exceeding 10 tonnes but not exceeding 50 tonnes</v>
          </cell>
          <cell r="H1150" t="str">
            <v>t</v>
          </cell>
          <cell r="I1150">
            <v>2907.0845656746251</v>
          </cell>
          <cell r="K1150">
            <v>3179.0459982739735</v>
          </cell>
        </row>
        <row r="1151">
          <cell r="G1151" t="str">
            <v>Fabrication of main members comprising plated girders BS EN 10025, yield stress 355N/mm2, length not exceeding 26m, total weight not exceeding 10 tonnes</v>
          </cell>
          <cell r="H1151" t="str">
            <v>t</v>
          </cell>
          <cell r="I1151">
            <v>2820.3911944715001</v>
          </cell>
          <cell r="K1151">
            <v>3005.0250500493571</v>
          </cell>
          <cell r="M1151">
            <v>3376.59</v>
          </cell>
        </row>
        <row r="1152">
          <cell r="G1152" t="str">
            <v>Fabrication of main members comprising plated girders BS EN 10025, yield stress 355N/mm2, length not exceeding 26m, total weight exceeding 50 tonnes but not not exceeding 200 tonnes</v>
          </cell>
          <cell r="H1152" t="str">
            <v>t</v>
          </cell>
          <cell r="I1152">
            <v>2693.4155327840003</v>
          </cell>
          <cell r="K1152">
            <v>2879.7831927745397</v>
          </cell>
        </row>
        <row r="1153">
          <cell r="G1153" t="str">
            <v>Fabrication of subsidiary steelwork comprising hot rolled open sections to BS EN 10025, universal beams, universal columns, angles, channels, joists, tees, total weight not exceeding 10 tonnes</v>
          </cell>
          <cell r="H1153" t="str">
            <v>t</v>
          </cell>
          <cell r="I1153">
            <v>3374.0620200415001</v>
          </cell>
          <cell r="K1153">
            <v>3710.2201538295253</v>
          </cell>
        </row>
        <row r="1154">
          <cell r="G1154" t="str">
            <v>Fabrication of subsidiary steelwork comprising hot rolled closed sections to BS EN 10025, yield stress 355N/mm2, circular, square and rectangular hollow sections, total weight not exceeding 10 tonnes</v>
          </cell>
          <cell r="H1154" t="str">
            <v>t</v>
          </cell>
          <cell r="I1154">
            <v>2990.9925380962604</v>
          </cell>
          <cell r="K1154">
            <v>3227.8583178485383</v>
          </cell>
        </row>
        <row r="1155">
          <cell r="G1155" t="str">
            <v>Fabrication of subsidiary steelwork comprising hot rolled plates to BS EN 10025, total weight not exceeding 10 tonnes</v>
          </cell>
          <cell r="H1155" t="str">
            <v>t</v>
          </cell>
          <cell r="I1155">
            <v>2722.1732160952729</v>
          </cell>
          <cell r="K1155">
            <v>2932.481309657338</v>
          </cell>
        </row>
        <row r="1156">
          <cell r="I1156" t="str">
            <v/>
          </cell>
        </row>
        <row r="1157">
          <cell r="G1157" t="str">
            <v>&lt;Select&gt;</v>
          </cell>
          <cell r="I1157" t="str">
            <v/>
          </cell>
        </row>
        <row r="1158">
          <cell r="G1158" t="str">
            <v>Permanent erection of main members comprising hot rolled open sections to BS EN 10025, universal beams, universal columns, angles, channels, joists, tees, total weight not exceeding 10 tonnes</v>
          </cell>
          <cell r="H1158" t="str">
            <v>t</v>
          </cell>
          <cell r="I1158">
            <v>661.06168688568744</v>
          </cell>
          <cell r="K1158">
            <v>693.47184739391503</v>
          </cell>
        </row>
        <row r="1159">
          <cell r="G1159" t="str">
            <v>Permanent erection of main members comprising hot rolled open sections to BS EN 10025, universal beams, universal columns, angles, channels, joists, tees, total weight exceeding 50 tonnes but not exceeding 200 tonnes</v>
          </cell>
          <cell r="H1159" t="str">
            <v>t</v>
          </cell>
          <cell r="I1159">
            <v>707.35812309641233</v>
          </cell>
          <cell r="K1159">
            <v>754.23684620819472</v>
          </cell>
        </row>
        <row r="1160">
          <cell r="G1160" t="str">
            <v>Permanent erection of main members comprising hot rolled closed sections to BS EN 10025, yield stress 355N/mm2, circular, square and rectangular hollow sections, total weight not exceeding 10 tonnes</v>
          </cell>
          <cell r="H1160" t="str">
            <v>t</v>
          </cell>
          <cell r="I1160">
            <v>661.06168688568744</v>
          </cell>
          <cell r="K1160">
            <v>693.47184739391503</v>
          </cell>
        </row>
        <row r="1161">
          <cell r="G1161" t="str">
            <v>Permanent erection of main members comprising hot rolled closed sections to BS EN 10025, yield stress 355N/mm2, circular, square and rectangular hollow sections, total weight exceeding 10 tonnes but not exceeding 50 tonnes</v>
          </cell>
          <cell r="H1161" t="str">
            <v>t</v>
          </cell>
          <cell r="I1161">
            <v>653.92441950969999</v>
          </cell>
          <cell r="K1161">
            <v>693.89114100813276</v>
          </cell>
        </row>
        <row r="1162">
          <cell r="G1162" t="str">
            <v>Permanent erection of main members comprising plated girders BS EN 10025, yield stress 355N/mm2, length not exceeding 26m, total weight not exceeding 10 tonnes</v>
          </cell>
          <cell r="H1162" t="str">
            <v>t</v>
          </cell>
          <cell r="I1162">
            <v>785.37998054536354</v>
          </cell>
          <cell r="K1162">
            <v>867.79671960052099</v>
          </cell>
          <cell r="M1162">
            <v>240.74</v>
          </cell>
        </row>
        <row r="1163">
          <cell r="G1163" t="str">
            <v>Permanent erection of main members comprising plated girders BS EN 10025, yield stress 355N/mm2, length not exceeding 26m, total weight exceeding 200 tonnes</v>
          </cell>
          <cell r="H1163" t="str">
            <v>t</v>
          </cell>
          <cell r="I1163">
            <v>689.14960069261247</v>
          </cell>
          <cell r="K1163">
            <v>745.39235341260746</v>
          </cell>
        </row>
        <row r="1164">
          <cell r="G1164" t="str">
            <v>Permanent erection of subsidiary steelwork comprising hot rolled open sections to BS EN 10025, universal beams, universal columns, angles, channels, joists, tees, total weight not exceeding 10 tonnes</v>
          </cell>
          <cell r="H1164" t="str">
            <v>t</v>
          </cell>
          <cell r="I1164">
            <v>683.56857288568744</v>
          </cell>
          <cell r="K1164">
            <v>715.15668310106776</v>
          </cell>
        </row>
        <row r="1165">
          <cell r="G1165" t="str">
            <v>Permanent erection of subsidiary steelwork comprising hot rolled closed sections to BS EN 10025, yield stress 355N/mm2, circular, square and rectangular hollow sections, total weight not exceeding 10 tonnes</v>
          </cell>
          <cell r="H1165" t="str">
            <v>t</v>
          </cell>
          <cell r="I1165">
            <v>683.56857288568744</v>
          </cell>
          <cell r="K1165">
            <v>715.15668310106776</v>
          </cell>
        </row>
        <row r="1166">
          <cell r="G1166" t="str">
            <v>Permanent erection of subsidiary steelwork comprising hot rolled plates to BS EN 10025, total weight not exceeding 10 tonnes</v>
          </cell>
          <cell r="H1166" t="str">
            <v>t</v>
          </cell>
          <cell r="I1166">
            <v>684.75101938568753</v>
          </cell>
          <cell r="K1166">
            <v>716.43420086096376</v>
          </cell>
        </row>
        <row r="1167">
          <cell r="I1167" t="str">
            <v/>
          </cell>
        </row>
        <row r="1168">
          <cell r="I1168" t="str">
            <v/>
          </cell>
        </row>
        <row r="1169">
          <cell r="I1169" t="str">
            <v/>
          </cell>
        </row>
        <row r="1170">
          <cell r="G1170" t="str">
            <v>&lt;Select&gt;</v>
          </cell>
          <cell r="I1170" t="str">
            <v/>
          </cell>
        </row>
        <row r="1171">
          <cell r="I1171" t="str">
            <v/>
          </cell>
        </row>
        <row r="1172">
          <cell r="G1172" t="str">
            <v>&lt;Select&gt;</v>
          </cell>
          <cell r="I1172" t="str">
            <v/>
          </cell>
        </row>
        <row r="1173">
          <cell r="G1173" t="str">
            <v>Protective system, fabrication stage, hot rolled sections, Area A, Type I</v>
          </cell>
          <cell r="H1173" t="str">
            <v>m2</v>
          </cell>
          <cell r="I1173">
            <v>28.627681986977819</v>
          </cell>
          <cell r="K1173">
            <v>29.820558752597442</v>
          </cell>
        </row>
        <row r="1174">
          <cell r="G1174" t="str">
            <v>Protective system, fabrication stage, plated girders, Area A, Type I</v>
          </cell>
          <cell r="H1174" t="str">
            <v>m2</v>
          </cell>
          <cell r="I1174">
            <v>28.525289930841438</v>
          </cell>
          <cell r="K1174">
            <v>29.71534044742473</v>
          </cell>
        </row>
        <row r="1175">
          <cell r="G1175" t="str">
            <v>Protective system, fabrication stage, box girders, Area A, Type I</v>
          </cell>
          <cell r="H1175" t="str">
            <v>m2</v>
          </cell>
          <cell r="I1175">
            <v>28.525289930841438</v>
          </cell>
          <cell r="K1175">
            <v>29.71534044742473</v>
          </cell>
        </row>
        <row r="1176">
          <cell r="G1176" t="str">
            <v>Protective system, fabrication stage, subsidiary steelwork, Area A, Type I</v>
          </cell>
          <cell r="H1176" t="str">
            <v>m2</v>
          </cell>
          <cell r="I1176">
            <v>28.525289930841438</v>
          </cell>
          <cell r="K1176">
            <v>29.71534044742473</v>
          </cell>
        </row>
        <row r="1177">
          <cell r="G1177" t="str">
            <v>Protective system, fabrication stage, hot rolled sections, Area A, Type II</v>
          </cell>
          <cell r="H1177" t="str">
            <v>m2</v>
          </cell>
          <cell r="I1177">
            <v>39.002702405112501</v>
          </cell>
          <cell r="K1177">
            <v>43.894159165274033</v>
          </cell>
        </row>
        <row r="1178">
          <cell r="G1178" t="str">
            <v>Protective system, fabrication stage, plated girders, Area A, Type II</v>
          </cell>
          <cell r="H1178" t="str">
            <v>m2</v>
          </cell>
          <cell r="I1178">
            <v>39.002702405112501</v>
          </cell>
          <cell r="K1178">
            <v>43.894159165274033</v>
          </cell>
        </row>
        <row r="1179">
          <cell r="G1179" t="str">
            <v>Protective system, fabrication stage, box girders, Area A, Type II</v>
          </cell>
          <cell r="H1179" t="str">
            <v>m2</v>
          </cell>
          <cell r="I1179">
            <v>39.002702405112501</v>
          </cell>
          <cell r="K1179">
            <v>43.894159165274033</v>
          </cell>
        </row>
        <row r="1180">
          <cell r="G1180" t="str">
            <v>Protective system, fabrication stage, subsidiary steelwork, Area A, Type II</v>
          </cell>
          <cell r="H1180" t="str">
            <v>m2</v>
          </cell>
          <cell r="I1180">
            <v>39.002702405112501</v>
          </cell>
          <cell r="K1180">
            <v>43.894159165274033</v>
          </cell>
        </row>
        <row r="1181">
          <cell r="G1181" t="str">
            <v>Protective system, fabrication stage, box girders, Area B, Type III</v>
          </cell>
          <cell r="H1181" t="str">
            <v>m2</v>
          </cell>
          <cell r="I1181">
            <v>37.067731307487499</v>
          </cell>
          <cell r="K1181">
            <v>39.056792885982546</v>
          </cell>
        </row>
        <row r="1182">
          <cell r="G1182" t="str">
            <v>Protective system, fabrication stage, plated girders, Area C, Aluminium metal spray</v>
          </cell>
          <cell r="H1182" t="str">
            <v>m2</v>
          </cell>
          <cell r="I1182">
            <v>32.300651905112503</v>
          </cell>
          <cell r="K1182">
            <v>35.722252274950478</v>
          </cell>
        </row>
        <row r="1183">
          <cell r="G1183" t="str">
            <v>Protective system, fabrication stage, box girders, Area C, Aluminium metal spray</v>
          </cell>
          <cell r="H1183" t="str">
            <v>m2</v>
          </cell>
          <cell r="I1183">
            <v>32.300651905112503</v>
          </cell>
          <cell r="K1183">
            <v>35.722252274950478</v>
          </cell>
        </row>
        <row r="1184">
          <cell r="G1184" t="str">
            <v>Protective system, fabrication stage, plated girders, Area D, Type I</v>
          </cell>
          <cell r="H1184" t="str">
            <v>m2</v>
          </cell>
          <cell r="I1184">
            <v>34.475674484418747</v>
          </cell>
          <cell r="K1184">
            <v>41.021959130543415</v>
          </cell>
        </row>
        <row r="1185">
          <cell r="G1185" t="str">
            <v>Protective system, fabrication stage, box girders, Area D, Type I</v>
          </cell>
          <cell r="H1185" t="str">
            <v>m2</v>
          </cell>
          <cell r="I1185">
            <v>34.475674484418747</v>
          </cell>
          <cell r="K1185">
            <v>41.021959130543415</v>
          </cell>
        </row>
        <row r="1186">
          <cell r="G1186" t="str">
            <v>Protective system, fabrication stage, plated girders, Area D, Type II</v>
          </cell>
          <cell r="H1186" t="str">
            <v>m2</v>
          </cell>
          <cell r="I1186">
            <v>37.049198405112499</v>
          </cell>
          <cell r="K1186">
            <v>42.889046222786661</v>
          </cell>
          <cell r="M1186">
            <v>25.27</v>
          </cell>
        </row>
        <row r="1187">
          <cell r="G1187" t="str">
            <v>Protective system, fabrication stage, box girders, Area D, Type II</v>
          </cell>
          <cell r="H1187" t="str">
            <v>m2</v>
          </cell>
          <cell r="I1187">
            <v>36.517620683706248</v>
          </cell>
          <cell r="K1187">
            <v>42.538314820474383</v>
          </cell>
        </row>
        <row r="1188">
          <cell r="G1188" t="str">
            <v>Protective system, fabrication stage, plated girders, Area D, Aluminium metal spray</v>
          </cell>
          <cell r="H1188" t="str">
            <v>m2</v>
          </cell>
          <cell r="I1188">
            <v>32.300651905112503</v>
          </cell>
          <cell r="K1188">
            <v>35.722252274950478</v>
          </cell>
        </row>
        <row r="1189">
          <cell r="G1189" t="str">
            <v>Protective system, fabrication stage, box girders, Area D, Aluminium metal spray</v>
          </cell>
          <cell r="H1189" t="str">
            <v>m2</v>
          </cell>
          <cell r="I1189">
            <v>32.300651905112503</v>
          </cell>
          <cell r="K1189">
            <v>35.722252274950478</v>
          </cell>
        </row>
        <row r="1190">
          <cell r="G1190" t="str">
            <v>Protective system, fabrication stage, hot rolled sections, Area A, Type IV</v>
          </cell>
          <cell r="H1190" t="str">
            <v>m2</v>
          </cell>
          <cell r="I1190">
            <v>46.396770764937088</v>
          </cell>
          <cell r="K1190">
            <v>47.043048739409343</v>
          </cell>
        </row>
        <row r="1191">
          <cell r="G1191" t="str">
            <v>Protective system, fabrication stage, subsidiary steelwork, Area A, Type IV</v>
          </cell>
          <cell r="H1191" t="str">
            <v>m2</v>
          </cell>
          <cell r="I1191">
            <v>46.536714786012901</v>
          </cell>
          <cell r="K1191">
            <v>47.154268289500173</v>
          </cell>
        </row>
        <row r="1192">
          <cell r="G1192" t="str">
            <v>Protective system, erection stage, hot rolled sections, Area E, Type I</v>
          </cell>
          <cell r="H1192" t="str">
            <v>m2</v>
          </cell>
          <cell r="I1192">
            <v>40.459363262878128</v>
          </cell>
          <cell r="K1192">
            <v>44.898058638562567</v>
          </cell>
        </row>
        <row r="1193">
          <cell r="G1193" t="str">
            <v>Protective system, erection stage, plated girders, Area E, Type I</v>
          </cell>
          <cell r="H1193" t="str">
            <v>m2</v>
          </cell>
          <cell r="I1193">
            <v>38.425578355178125</v>
          </cell>
          <cell r="K1193">
            <v>42.636472614346651</v>
          </cell>
        </row>
        <row r="1194">
          <cell r="G1194" t="str">
            <v>Protective system, erection stage, box girders, Area E, Type I</v>
          </cell>
          <cell r="H1194" t="str">
            <v>m2</v>
          </cell>
          <cell r="I1194">
            <v>38.744403355178122</v>
          </cell>
          <cell r="K1194">
            <v>42.810949216513897</v>
          </cell>
        </row>
        <row r="1195">
          <cell r="G1195" t="str">
            <v>Protective system, erection stage, subsidiary steelwork, Area E, Type I</v>
          </cell>
          <cell r="H1195" t="str">
            <v>m2</v>
          </cell>
          <cell r="I1195">
            <v>38.996465855178123</v>
          </cell>
          <cell r="K1195">
            <v>42.961788394166994</v>
          </cell>
        </row>
        <row r="1196">
          <cell r="G1196" t="str">
            <v>Protective system, erection stage, hot rolled sections, Area E, Type II</v>
          </cell>
          <cell r="H1196" t="str">
            <v>m2</v>
          </cell>
          <cell r="I1196">
            <v>49.29947162445</v>
          </cell>
          <cell r="K1196">
            <v>54.233474665674564</v>
          </cell>
        </row>
        <row r="1197">
          <cell r="G1197" t="str">
            <v>Protective system, erection stage, plated girders, Area E, Type II</v>
          </cell>
          <cell r="H1197" t="str">
            <v>m2</v>
          </cell>
          <cell r="I1197">
            <v>50.038688827106249</v>
          </cell>
          <cell r="K1197">
            <v>54.794361141093326</v>
          </cell>
        </row>
        <row r="1198">
          <cell r="G1198" t="str">
            <v>Protective system, erection stage, box girders, Area E, Type II</v>
          </cell>
          <cell r="H1198" t="str">
            <v>m2</v>
          </cell>
          <cell r="I1198">
            <v>51.022855946454683</v>
          </cell>
          <cell r="K1198">
            <v>55.592547026518069</v>
          </cell>
        </row>
        <row r="1199">
          <cell r="G1199" t="str">
            <v>Protective system, erection stage, subsidiary steelwork, Area E, Type II</v>
          </cell>
          <cell r="H1199" t="str">
            <v>m2</v>
          </cell>
          <cell r="I1199">
            <v>51.115063827106248</v>
          </cell>
          <cell r="K1199">
            <v>55.770609624250639</v>
          </cell>
        </row>
        <row r="1200">
          <cell r="G1200" t="str">
            <v>Protective system, erection stage, hot rolled sections, Area F, Type IIIa</v>
          </cell>
          <cell r="H1200" t="str">
            <v>m2</v>
          </cell>
          <cell r="I1200">
            <v>43.269084956684381</v>
          </cell>
          <cell r="K1200">
            <v>47.312813983260313</v>
          </cell>
        </row>
        <row r="1201">
          <cell r="G1201" t="str">
            <v>Protective system, erection stage, plated girders, Area F, Type IIIa</v>
          </cell>
          <cell r="H1201" t="str">
            <v>m2</v>
          </cell>
          <cell r="I1201">
            <v>43.433947456684379</v>
          </cell>
          <cell r="K1201">
            <v>47.37375368311384</v>
          </cell>
        </row>
        <row r="1202">
          <cell r="G1202" t="str">
            <v>Protective system, erection stage, box girders, Area F, Type IIIa</v>
          </cell>
          <cell r="H1202" t="str">
            <v>m2</v>
          </cell>
          <cell r="I1202">
            <v>43.717347456684379</v>
          </cell>
          <cell r="K1202">
            <v>47.489028316321047</v>
          </cell>
        </row>
        <row r="1203">
          <cell r="G1203" t="str">
            <v>Protective system, erection stage, subsidiary steelwork, Area F, Type IIIa</v>
          </cell>
          <cell r="H1203" t="str">
            <v>m2</v>
          </cell>
          <cell r="I1203">
            <v>44.67551362777813</v>
          </cell>
          <cell r="K1203">
            <v>48.047163937745324</v>
          </cell>
        </row>
        <row r="1204">
          <cell r="I1204" t="str">
            <v/>
          </cell>
        </row>
        <row r="1205">
          <cell r="I1205" t="str">
            <v/>
          </cell>
        </row>
        <row r="1206">
          <cell r="I1206" t="str">
            <v/>
          </cell>
        </row>
        <row r="1207">
          <cell r="G1207" t="str">
            <v>&lt;Select&gt;</v>
          </cell>
          <cell r="I1207" t="str">
            <v/>
          </cell>
        </row>
        <row r="1208">
          <cell r="I1208" t="str">
            <v/>
          </cell>
        </row>
        <row r="1209">
          <cell r="G1209" t="str">
            <v>&lt;Select&gt;</v>
          </cell>
          <cell r="I1209" t="str">
            <v/>
          </cell>
        </row>
        <row r="1210">
          <cell r="G1210" t="str">
            <v>Waterproofing with spray applied proprietary waterproofing system more than 300mm wide at any inclination up to and including 30° to the horizontal</v>
          </cell>
          <cell r="H1210" t="str">
            <v>m2</v>
          </cell>
          <cell r="I1210">
            <v>26.034266957802075</v>
          </cell>
          <cell r="K1210">
            <v>26.900428570701202</v>
          </cell>
          <cell r="M1210">
            <v>25.77</v>
          </cell>
          <cell r="O1210">
            <v>2.4929999999999999</v>
          </cell>
          <cell r="Q1210">
            <v>2.2949999999999999</v>
          </cell>
          <cell r="S1210">
            <v>0.19800000000000001</v>
          </cell>
          <cell r="U1210">
            <v>0</v>
          </cell>
          <cell r="W1210">
            <v>50</v>
          </cell>
        </row>
        <row r="1211">
          <cell r="G1211" t="str">
            <v>Waterproofing with spray applied proprietary waterproofing system 300mm wide or less at any inclination</v>
          </cell>
          <cell r="H1211" t="str">
            <v>m2</v>
          </cell>
          <cell r="I1211">
            <v>24.81686805689375</v>
          </cell>
          <cell r="K1211">
            <v>25.799758165311275</v>
          </cell>
          <cell r="O1211">
            <v>2.4929999999999999</v>
          </cell>
          <cell r="Q1211">
            <v>2.2949999999999999</v>
          </cell>
          <cell r="S1211">
            <v>0.19800000000000001</v>
          </cell>
          <cell r="U1211">
            <v>0</v>
          </cell>
          <cell r="W1211">
            <v>50</v>
          </cell>
        </row>
        <row r="1212">
          <cell r="G1212" t="str">
            <v>Waterproofing with sheet membrane proprietary waterproofing system more than 300mm wide at any inclination up to and including 30° to the horizontal</v>
          </cell>
          <cell r="H1212" t="str">
            <v>m2</v>
          </cell>
          <cell r="I1212">
            <v>22.223728100622434</v>
          </cell>
          <cell r="K1212">
            <v>23.79734437230341</v>
          </cell>
          <cell r="O1212">
            <v>2.4929999999999999</v>
          </cell>
          <cell r="Q1212">
            <v>2.2949999999999999</v>
          </cell>
          <cell r="S1212">
            <v>0.19800000000000001</v>
          </cell>
          <cell r="U1212">
            <v>0</v>
          </cell>
          <cell r="W1212">
            <v>50</v>
          </cell>
        </row>
        <row r="1213">
          <cell r="G1213" t="str">
            <v>Waterproofing with sheet membrane proprietary waterproofing system 300mm wide or less at any inclination</v>
          </cell>
          <cell r="H1213" t="str">
            <v>m2</v>
          </cell>
          <cell r="I1213">
            <v>21.932788953843751</v>
          </cell>
          <cell r="K1213">
            <v>23.665194488909577</v>
          </cell>
          <cell r="O1213">
            <v>2.4929999999999999</v>
          </cell>
          <cell r="Q1213">
            <v>2.2949999999999999</v>
          </cell>
          <cell r="S1213">
            <v>0.19800000000000001</v>
          </cell>
          <cell r="U1213">
            <v>0</v>
          </cell>
          <cell r="W1213">
            <v>50</v>
          </cell>
        </row>
        <row r="1214">
          <cell r="G1214" t="str">
            <v>Waterproofing with 2 coats of bitumen more than 300mm wide at any inclination up to and including 30° to the horizontal</v>
          </cell>
          <cell r="H1214" t="str">
            <v>m2</v>
          </cell>
          <cell r="I1214">
            <v>7.6412072856831248</v>
          </cell>
          <cell r="K1214">
            <v>8.1448685506885798</v>
          </cell>
          <cell r="O1214">
            <v>2.4929999999999999</v>
          </cell>
          <cell r="Q1214">
            <v>2.2949999999999999</v>
          </cell>
          <cell r="S1214">
            <v>0.19800000000000001</v>
          </cell>
          <cell r="U1214">
            <v>0</v>
          </cell>
          <cell r="W1214">
            <v>50</v>
          </cell>
        </row>
        <row r="1215">
          <cell r="G1215" t="str">
            <v>Waterproofing with 2 coats of bitumen more than 300mm wide at any inclination more than 30° up to and including 90° to the horizontal</v>
          </cell>
          <cell r="H1215" t="str">
            <v>m2</v>
          </cell>
          <cell r="I1215">
            <v>7.2979996314831252</v>
          </cell>
          <cell r="K1215">
            <v>7.9160239766390577</v>
          </cell>
          <cell r="O1215">
            <v>2.4929999999999999</v>
          </cell>
          <cell r="Q1215">
            <v>2.2949999999999999</v>
          </cell>
          <cell r="S1215">
            <v>0.19800000000000001</v>
          </cell>
          <cell r="U1215">
            <v>0</v>
          </cell>
          <cell r="W1215">
            <v>50</v>
          </cell>
        </row>
        <row r="1216">
          <cell r="G1216" t="str">
            <v>Waterproofing with combined spray applied proprietary waterproofing and epoxy grit surfacing system more than 300 mm wide at any inclination up to and including 30 degrees to the horizontal</v>
          </cell>
          <cell r="H1216" t="str">
            <v>m2</v>
          </cell>
          <cell r="I1216">
            <v>39.825446783188255</v>
          </cell>
          <cell r="K1216">
            <v>40.237180538238775</v>
          </cell>
          <cell r="O1216">
            <v>0</v>
          </cell>
          <cell r="Q1216">
            <v>0</v>
          </cell>
          <cell r="S1216">
            <v>0</v>
          </cell>
          <cell r="U1216">
            <v>0</v>
          </cell>
          <cell r="W1216">
            <v>0</v>
          </cell>
        </row>
        <row r="1217">
          <cell r="I1217" t="str">
            <v/>
          </cell>
        </row>
        <row r="1218">
          <cell r="G1218" t="str">
            <v>&lt;Select&gt;</v>
          </cell>
          <cell r="I1218" t="str">
            <v/>
          </cell>
        </row>
        <row r="1219">
          <cell r="G1219" t="str">
            <v>Surface impregnation to plain surfaces with Silane</v>
          </cell>
          <cell r="H1219" t="str">
            <v>m2</v>
          </cell>
          <cell r="I1219">
            <v>7.3351872470819384</v>
          </cell>
          <cell r="K1219">
            <v>8.3244119536103689</v>
          </cell>
          <cell r="M1219">
            <v>3.76</v>
          </cell>
          <cell r="O1219">
            <v>0</v>
          </cell>
          <cell r="Q1219">
            <v>0</v>
          </cell>
          <cell r="S1219">
            <v>0</v>
          </cell>
          <cell r="U1219">
            <v>0</v>
          </cell>
          <cell r="W1219">
            <v>0</v>
          </cell>
        </row>
        <row r="1220">
          <cell r="I1220" t="str">
            <v/>
          </cell>
        </row>
        <row r="1221">
          <cell r="G1221" t="str">
            <v>&lt;Select&gt;</v>
          </cell>
          <cell r="I1221" t="str">
            <v/>
          </cell>
        </row>
        <row r="1222">
          <cell r="G1222" t="str">
            <v>Removal of existing waterproofing more than 300mm wide horizontal or at any inclination up to and including 30o to the horizontal, total area up to but not exceeding 10m2</v>
          </cell>
          <cell r="H1222" t="str">
            <v>m2</v>
          </cell>
          <cell r="I1222">
            <v>23.508632463263002</v>
          </cell>
          <cell r="K1222">
            <v>26.129154775978133</v>
          </cell>
          <cell r="M1222">
            <v>5.05</v>
          </cell>
        </row>
        <row r="1223">
          <cell r="G1223" t="str">
            <v>Removal of existing waterproofing more than 300mm wide horizontal or at any inclination up to and including 30o to the horizontal, total area exceeding 10m2</v>
          </cell>
          <cell r="H1223" t="str">
            <v>m2</v>
          </cell>
          <cell r="I1223">
            <v>16.15410103689425</v>
          </cell>
          <cell r="K1223">
            <v>17.741212982667744</v>
          </cell>
          <cell r="M1223">
            <v>5.05</v>
          </cell>
        </row>
        <row r="1224">
          <cell r="G1224" t="str">
            <v>Removal of existing waterproofing more than 300mm wide at any inclination more than 30o up to and including 90o to the horizontal, total area up to but not exceeding 10m2</v>
          </cell>
          <cell r="H1224" t="str">
            <v>m2</v>
          </cell>
          <cell r="I1224">
            <v>23.508632463263002</v>
          </cell>
          <cell r="K1224">
            <v>26.129154775978133</v>
          </cell>
          <cell r="M1224">
            <v>6.99</v>
          </cell>
        </row>
        <row r="1225">
          <cell r="G1225" t="str">
            <v>Removal of existing waterproofing more than 300mm wide at any inclination more than 30o up to and including 90o to the horizontal, total area exceeding 10m2</v>
          </cell>
          <cell r="H1225" t="str">
            <v>m2</v>
          </cell>
          <cell r="I1225">
            <v>18.53740024389425</v>
          </cell>
          <cell r="K1225">
            <v>20.23395226375559</v>
          </cell>
          <cell r="M1225">
            <v>6.99</v>
          </cell>
        </row>
        <row r="1226">
          <cell r="G1226" t="str">
            <v>Removal of existing waterproofing more than 300mm wide or less at any inclination, total area up to but not exceeding 10m2</v>
          </cell>
          <cell r="H1226" t="str">
            <v>m2</v>
          </cell>
          <cell r="I1226">
            <v>24.260375934700505</v>
          </cell>
          <cell r="K1226">
            <v>26.718773818558038</v>
          </cell>
          <cell r="M1226">
            <v>7.77</v>
          </cell>
        </row>
        <row r="1227">
          <cell r="G1227" t="str">
            <v>Removal of existing waterproofing more than 300mm wide or less at any inclination, total area exceeding 10m2</v>
          </cell>
          <cell r="H1227" t="str">
            <v>m2</v>
          </cell>
          <cell r="I1227">
            <v>18.852444940412997</v>
          </cell>
          <cell r="K1227">
            <v>20.531733868401645</v>
          </cell>
          <cell r="M1227">
            <v>7.77</v>
          </cell>
        </row>
        <row r="1228">
          <cell r="I1228" t="str">
            <v/>
          </cell>
        </row>
        <row r="1229">
          <cell r="G1229" t="str">
            <v>&lt;Select&gt;</v>
          </cell>
          <cell r="I1229" t="str">
            <v/>
          </cell>
        </row>
        <row r="1230">
          <cell r="G1230" t="str">
            <v>Establishment of plant for waterproofing work</v>
          </cell>
          <cell r="H1230" t="str">
            <v>Item</v>
          </cell>
          <cell r="I1230">
            <v>460.0914573529875</v>
          </cell>
          <cell r="K1230">
            <v>573.49231481660456</v>
          </cell>
        </row>
        <row r="1231">
          <cell r="G1231" t="str">
            <v>Establishment of plant for surface impregnation</v>
          </cell>
          <cell r="H1231" t="str">
            <v>Item</v>
          </cell>
          <cell r="I1231">
            <v>442.31616248298752</v>
          </cell>
          <cell r="K1231">
            <v>608.70896126464413</v>
          </cell>
        </row>
        <row r="1232">
          <cell r="I1232" t="str">
            <v/>
          </cell>
        </row>
        <row r="1233">
          <cell r="I1233" t="str">
            <v/>
          </cell>
        </row>
        <row r="1234">
          <cell r="I1234" t="str">
            <v/>
          </cell>
        </row>
        <row r="1235">
          <cell r="G1235" t="str">
            <v>&lt;Select&gt;</v>
          </cell>
          <cell r="I1235" t="str">
            <v/>
          </cell>
        </row>
        <row r="1236">
          <cell r="I1236" t="str">
            <v/>
          </cell>
        </row>
        <row r="1237">
          <cell r="G1237" t="str">
            <v>&lt;Select&gt;</v>
          </cell>
          <cell r="I1237" t="str">
            <v/>
          </cell>
        </row>
        <row r="1238">
          <cell r="G1238" t="str">
            <v>Bridge deck asphaltic plug type A not exceeding 12m metres in length</v>
          </cell>
          <cell r="H1238" t="str">
            <v>no</v>
          </cell>
          <cell r="I1238">
            <v>2304.5611400692928</v>
          </cell>
          <cell r="K1238">
            <v>2469.6085361014329</v>
          </cell>
          <cell r="O1238">
            <v>0</v>
          </cell>
          <cell r="Q1238">
            <v>0</v>
          </cell>
          <cell r="S1238">
            <v>0</v>
          </cell>
          <cell r="W1238">
            <v>0</v>
          </cell>
        </row>
        <row r="1239">
          <cell r="G1239" t="str">
            <v>Bridge deck asphaltic plug type A exceeding 12m metres in length</v>
          </cell>
          <cell r="H1239" t="str">
            <v>m</v>
          </cell>
          <cell r="I1239">
            <v>204.77354825036934</v>
          </cell>
          <cell r="K1239">
            <v>217.12864843581897</v>
          </cell>
          <cell r="M1239">
            <v>213.13</v>
          </cell>
          <cell r="O1239">
            <v>0</v>
          </cell>
          <cell r="Q1239">
            <v>0</v>
          </cell>
          <cell r="S1239">
            <v>0</v>
          </cell>
          <cell r="W1239">
            <v>0</v>
          </cell>
        </row>
        <row r="1240">
          <cell r="G1240" t="str">
            <v>Bridge deck asphaltic plug type B not exceeding 12m metres in length</v>
          </cell>
          <cell r="H1240" t="str">
            <v>no</v>
          </cell>
          <cell r="I1240">
            <v>3635.1560739500915</v>
          </cell>
          <cell r="K1240">
            <v>3844.9129592529807</v>
          </cell>
          <cell r="O1240">
            <v>0</v>
          </cell>
          <cell r="Q1240">
            <v>0</v>
          </cell>
          <cell r="S1240">
            <v>0</v>
          </cell>
          <cell r="W1240">
            <v>0</v>
          </cell>
        </row>
        <row r="1241">
          <cell r="G1241" t="str">
            <v>Bridge deck asphaltic plug type B exceeding 12m metres in length</v>
          </cell>
          <cell r="H1241" t="str">
            <v>m</v>
          </cell>
          <cell r="I1241">
            <v>317.38450752734502</v>
          </cell>
          <cell r="K1241">
            <v>330.70603528489642</v>
          </cell>
          <cell r="O1241">
            <v>0</v>
          </cell>
          <cell r="Q1241">
            <v>0</v>
          </cell>
          <cell r="S1241">
            <v>0</v>
          </cell>
          <cell r="W1241">
            <v>0</v>
          </cell>
        </row>
        <row r="1242">
          <cell r="G1242" t="str">
            <v>Bridge deck asphaltic plug type C not exceeding 12m metres in length</v>
          </cell>
          <cell r="H1242" t="str">
            <v>no</v>
          </cell>
          <cell r="I1242">
            <v>3028.5164763355406</v>
          </cell>
          <cell r="K1242">
            <v>3142.9339840965699</v>
          </cell>
          <cell r="O1242">
            <v>0</v>
          </cell>
          <cell r="Q1242">
            <v>0</v>
          </cell>
          <cell r="S1242">
            <v>0</v>
          </cell>
          <cell r="W1242">
            <v>0</v>
          </cell>
        </row>
        <row r="1243">
          <cell r="G1243" t="str">
            <v>Bridge deck asphaltic plug type C exceeding 12m metres in length</v>
          </cell>
          <cell r="H1243" t="str">
            <v>m</v>
          </cell>
          <cell r="I1243">
            <v>801.17994752411767</v>
          </cell>
          <cell r="K1243">
            <v>1247.9127506071927</v>
          </cell>
          <cell r="O1243">
            <v>0</v>
          </cell>
          <cell r="Q1243">
            <v>0</v>
          </cell>
          <cell r="S1243">
            <v>0</v>
          </cell>
          <cell r="W1243">
            <v>0</v>
          </cell>
        </row>
        <row r="1244">
          <cell r="G1244" t="str">
            <v>Bridge deck asphaltic plug type D not exceeding 12m metres in length</v>
          </cell>
          <cell r="H1244" t="str">
            <v>no</v>
          </cell>
          <cell r="I1244">
            <v>3963.8720617766467</v>
          </cell>
          <cell r="K1244">
            <v>4106.2663771262005</v>
          </cell>
          <cell r="O1244">
            <v>0</v>
          </cell>
          <cell r="Q1244">
            <v>0</v>
          </cell>
          <cell r="S1244">
            <v>0</v>
          </cell>
          <cell r="W1244">
            <v>0</v>
          </cell>
        </row>
        <row r="1245">
          <cell r="G1245" t="str">
            <v>Bridge deck asphaltic plug type D exceeding 12m metres in length</v>
          </cell>
          <cell r="H1245" t="str">
            <v>m</v>
          </cell>
          <cell r="I1245">
            <v>411.67917924344385</v>
          </cell>
          <cell r="K1245">
            <v>422.86363449931173</v>
          </cell>
          <cell r="O1245">
            <v>0</v>
          </cell>
          <cell r="Q1245">
            <v>0</v>
          </cell>
          <cell r="S1245">
            <v>0</v>
          </cell>
          <cell r="W1245">
            <v>0</v>
          </cell>
        </row>
        <row r="1246">
          <cell r="I1246" t="str">
            <v/>
          </cell>
        </row>
        <row r="1247">
          <cell r="G1247" t="str">
            <v>&lt;Select&gt;</v>
          </cell>
          <cell r="I1247" t="str">
            <v/>
          </cell>
        </row>
        <row r="1248">
          <cell r="G1248" t="str">
            <v>Joint sealant type X</v>
          </cell>
          <cell r="H1248" t="str">
            <v>m</v>
          </cell>
          <cell r="I1248">
            <v>19.690294151918749</v>
          </cell>
          <cell r="K1248">
            <v>22.394322759207952</v>
          </cell>
        </row>
        <row r="1249">
          <cell r="G1249" t="str">
            <v>Joint sealant type Y</v>
          </cell>
          <cell r="H1249" t="str">
            <v>m</v>
          </cell>
          <cell r="I1249">
            <v>29.352146453248128</v>
          </cell>
          <cell r="K1249">
            <v>31.468504752619328</v>
          </cell>
        </row>
        <row r="1250">
          <cell r="I1250" t="str">
            <v/>
          </cell>
        </row>
        <row r="1251">
          <cell r="I1251" t="str">
            <v/>
          </cell>
        </row>
        <row r="1252">
          <cell r="I1252" t="str">
            <v/>
          </cell>
        </row>
        <row r="1253">
          <cell r="G1253" t="str">
            <v>&lt;Select&gt;</v>
          </cell>
          <cell r="I1253" t="str">
            <v/>
          </cell>
        </row>
        <row r="1254">
          <cell r="I1254" t="str">
            <v/>
          </cell>
        </row>
        <row r="1255">
          <cell r="G1255" t="str">
            <v>&lt;Select&gt;</v>
          </cell>
          <cell r="I1255" t="str">
            <v/>
          </cell>
        </row>
        <row r="1256">
          <cell r="G1256" t="str">
            <v>Brickwork in facing bricks, 100mm thick, cement mortar designation (ii), in facework to concrete</v>
          </cell>
          <cell r="H1256" t="str">
            <v>m2</v>
          </cell>
          <cell r="I1256">
            <v>83.715415046437499</v>
          </cell>
          <cell r="K1256">
            <v>85.264373832055199</v>
          </cell>
          <cell r="M1256">
            <v>83.25</v>
          </cell>
          <cell r="O1256">
            <v>36.586531950000008</v>
          </cell>
          <cell r="Q1256">
            <v>36.136741950000008</v>
          </cell>
          <cell r="S1256">
            <v>0.44979000000000008</v>
          </cell>
          <cell r="U1256">
            <v>0</v>
          </cell>
          <cell r="W1256">
            <v>136.30000000000001</v>
          </cell>
        </row>
        <row r="1257">
          <cell r="G1257" t="str">
            <v>Brickwork in facing bricks, 229mm thick, cement mortar designation (ii), in facework to concrete</v>
          </cell>
          <cell r="H1257" t="str">
            <v>m2</v>
          </cell>
          <cell r="I1257">
            <v>131.5079517832838</v>
          </cell>
          <cell r="K1257">
            <v>142.54399195961298</v>
          </cell>
          <cell r="M1257">
            <v>150.55000000000001</v>
          </cell>
          <cell r="O1257">
            <v>73.548861000000016</v>
          </cell>
          <cell r="Q1257">
            <v>72.644661000000013</v>
          </cell>
          <cell r="S1257">
            <v>0.90420000000000011</v>
          </cell>
          <cell r="U1257">
            <v>0</v>
          </cell>
          <cell r="W1257">
            <v>274</v>
          </cell>
        </row>
        <row r="1258">
          <cell r="G1258" t="str">
            <v>Brickwork in facing bricks, 229mm thick, cement mortar designation (ii), in walls</v>
          </cell>
          <cell r="H1258" t="str">
            <v>m2</v>
          </cell>
          <cell r="I1258">
            <v>126.45702851368381</v>
          </cell>
          <cell r="K1258">
            <v>136.80257720806469</v>
          </cell>
          <cell r="M1258">
            <v>133.66999999999999</v>
          </cell>
          <cell r="O1258">
            <v>73.548861000000016</v>
          </cell>
          <cell r="Q1258">
            <v>72.644661000000013</v>
          </cell>
          <cell r="S1258">
            <v>0.90420000000000011</v>
          </cell>
          <cell r="U1258">
            <v>0</v>
          </cell>
          <cell r="W1258">
            <v>274</v>
          </cell>
        </row>
        <row r="1259">
          <cell r="G1259" t="str">
            <v>Brickwork in engineering Class B, 229mm thick, cement mortar designation (ii), in walls</v>
          </cell>
          <cell r="H1259" t="str">
            <v>m2</v>
          </cell>
          <cell r="I1259">
            <v>115.85827651483801</v>
          </cell>
          <cell r="K1259">
            <v>125.08895558048603</v>
          </cell>
          <cell r="M1259">
            <v>90.5</v>
          </cell>
          <cell r="O1259">
            <v>73.548861000000016</v>
          </cell>
          <cell r="Q1259">
            <v>72.644661000000013</v>
          </cell>
          <cell r="S1259">
            <v>0.90420000000000011</v>
          </cell>
          <cell r="U1259">
            <v>0</v>
          </cell>
          <cell r="W1259">
            <v>274</v>
          </cell>
        </row>
        <row r="1260">
          <cell r="G1260" t="str">
            <v xml:space="preserve">Brickwork in copings, string courses and the like, facing bricks 229mm width or less, in cement mortar designation (ii) </v>
          </cell>
          <cell r="H1260" t="str">
            <v>m</v>
          </cell>
          <cell r="I1260">
            <v>25.055938126609</v>
          </cell>
          <cell r="K1260">
            <v>27.640582071790533</v>
          </cell>
          <cell r="M1260">
            <v>22.55</v>
          </cell>
          <cell r="O1260">
            <v>4.0263975000000007</v>
          </cell>
          <cell r="Q1260">
            <v>3.9768975000000006</v>
          </cell>
          <cell r="S1260">
            <v>4.9500000000000002E-2</v>
          </cell>
          <cell r="U1260">
            <v>0</v>
          </cell>
          <cell r="W1260">
            <v>15</v>
          </cell>
        </row>
        <row r="1261">
          <cell r="I1261" t="str">
            <v/>
          </cell>
        </row>
        <row r="1262">
          <cell r="G1262" t="str">
            <v>&lt;Select&gt;</v>
          </cell>
          <cell r="I1262" t="str">
            <v/>
          </cell>
        </row>
        <row r="1263">
          <cell r="G1263" t="str">
            <v>Stonework laid as random rubble, in cement mortar designation (ii) in facework to concrete</v>
          </cell>
          <cell r="H1263" t="str">
            <v>m2</v>
          </cell>
          <cell r="I1263">
            <v>171.33874350381245</v>
          </cell>
          <cell r="K1263">
            <v>184.44025853527617</v>
          </cell>
          <cell r="M1263">
            <v>188.95477</v>
          </cell>
          <cell r="O1263">
            <v>0</v>
          </cell>
          <cell r="Q1263">
            <v>0</v>
          </cell>
          <cell r="S1263">
            <v>0</v>
          </cell>
          <cell r="U1263">
            <v>0</v>
          </cell>
          <cell r="W1263">
            <v>0</v>
          </cell>
        </row>
        <row r="1264">
          <cell r="I1264" t="str">
            <v/>
          </cell>
        </row>
        <row r="1265">
          <cell r="G1265" t="str">
            <v>&lt;Select&gt;</v>
          </cell>
          <cell r="I1265" t="str">
            <v/>
          </cell>
        </row>
        <row r="1266">
          <cell r="G1266" t="str">
            <v xml:space="preserve">Brickwork repointing with mortar designation (ii) to vertical surfaces of walls. </v>
          </cell>
          <cell r="H1266" t="str">
            <v>m2</v>
          </cell>
          <cell r="I1266">
            <v>53.101024583645007</v>
          </cell>
          <cell r="K1266">
            <v>69.855346820220888</v>
          </cell>
          <cell r="O1266">
            <v>0</v>
          </cell>
          <cell r="Q1266">
            <v>0</v>
          </cell>
          <cell r="S1266">
            <v>0</v>
          </cell>
          <cell r="U1266">
            <v>0</v>
          </cell>
          <cell r="W1266">
            <v>0</v>
          </cell>
        </row>
        <row r="1267">
          <cell r="G1267" t="str">
            <v xml:space="preserve">Brickwork repointing with mortar designation (ii) to arch soffits. </v>
          </cell>
          <cell r="H1267" t="str">
            <v>m2</v>
          </cell>
          <cell r="I1267">
            <v>64.229220152150006</v>
          </cell>
          <cell r="K1267">
            <v>75.295856159609826</v>
          </cell>
          <cell r="O1267">
            <v>0</v>
          </cell>
          <cell r="Q1267">
            <v>0</v>
          </cell>
          <cell r="S1267">
            <v>0</v>
          </cell>
          <cell r="U1267">
            <v>0</v>
          </cell>
          <cell r="W1267">
            <v>0</v>
          </cell>
        </row>
        <row r="1268">
          <cell r="G1268" t="str">
            <v xml:space="preserve">Stonework repointing with mortar designation (iii) to vertical surfaces of walls. </v>
          </cell>
          <cell r="H1268" t="str">
            <v>m2</v>
          </cell>
          <cell r="I1268">
            <v>66.592446459125</v>
          </cell>
          <cell r="K1268">
            <v>76.941876024256942</v>
          </cell>
          <cell r="O1268">
            <v>0</v>
          </cell>
          <cell r="Q1268">
            <v>0</v>
          </cell>
          <cell r="S1268">
            <v>0</v>
          </cell>
          <cell r="U1268">
            <v>0</v>
          </cell>
          <cell r="W1268">
            <v>0</v>
          </cell>
        </row>
        <row r="1269">
          <cell r="G1269" t="str">
            <v xml:space="preserve">Stonework repointing with mortar designation (iii) to arch soffits. </v>
          </cell>
          <cell r="H1269" t="str">
            <v>m2</v>
          </cell>
          <cell r="I1269">
            <v>70.015452373399995</v>
          </cell>
          <cell r="K1269">
            <v>78.938373777678066</v>
          </cell>
          <cell r="O1269">
            <v>0</v>
          </cell>
          <cell r="Q1269">
            <v>0</v>
          </cell>
          <cell r="S1269">
            <v>0</v>
          </cell>
          <cell r="U1269">
            <v>0</v>
          </cell>
          <cell r="W1269">
            <v>0</v>
          </cell>
        </row>
        <row r="1270">
          <cell r="I1270" t="str">
            <v/>
          </cell>
        </row>
        <row r="1271">
          <cell r="I1271" t="str">
            <v/>
          </cell>
        </row>
        <row r="1272">
          <cell r="I1272" t="str">
            <v/>
          </cell>
        </row>
        <row r="1273">
          <cell r="G1273" t="str">
            <v>&lt;Select&gt;</v>
          </cell>
          <cell r="I1273" t="str">
            <v/>
          </cell>
        </row>
        <row r="1274">
          <cell r="I1274" t="str">
            <v/>
          </cell>
        </row>
        <row r="1275">
          <cell r="G1275" t="str">
            <v>&lt;Select&gt;</v>
          </cell>
          <cell r="I1275" t="str">
            <v/>
          </cell>
        </row>
        <row r="1276">
          <cell r="G1276" t="str">
            <v>Grass seeding by conventional sowing to surfaces sloping at 10 degrees or less to the horizontal.</v>
          </cell>
          <cell r="H1276" t="str">
            <v>m2</v>
          </cell>
          <cell r="I1276">
            <v>0.46785864489511475</v>
          </cell>
          <cell r="K1276">
            <v>0.52999862535924802</v>
          </cell>
          <cell r="M1276">
            <v>0.65</v>
          </cell>
          <cell r="O1276">
            <v>2.2083600000000002E-2</v>
          </cell>
          <cell r="Q1276">
            <v>2.20044E-2</v>
          </cell>
          <cell r="S1276">
            <v>7.9200000000000001E-5</v>
          </cell>
          <cell r="U1276">
            <v>0</v>
          </cell>
          <cell r="W1276">
            <v>0.02</v>
          </cell>
        </row>
        <row r="1277">
          <cell r="G1277" t="str">
            <v>Grass seeding by conventional sowing to surfaces sloping at more than 10 degrees to the horizontal.</v>
          </cell>
          <cell r="H1277" t="str">
            <v>m2</v>
          </cell>
          <cell r="I1277">
            <v>0.65092963906575307</v>
          </cell>
          <cell r="K1277">
            <v>0.81777759911603221</v>
          </cell>
          <cell r="M1277">
            <v>0.78</v>
          </cell>
          <cell r="O1277">
            <v>2.2083600000000002E-2</v>
          </cell>
          <cell r="Q1277">
            <v>2.20044E-2</v>
          </cell>
          <cell r="S1277">
            <v>7.9200000000000001E-5</v>
          </cell>
          <cell r="U1277">
            <v>0</v>
          </cell>
          <cell r="W1277">
            <v>0.02</v>
          </cell>
        </row>
        <row r="1278">
          <cell r="G1278" t="str">
            <v>Turfing to surfaces sloping at 10 degrees or less to the horizontal.</v>
          </cell>
          <cell r="H1278" t="str">
            <v>m2</v>
          </cell>
          <cell r="I1278">
            <v>5.0142069679800532</v>
          </cell>
          <cell r="K1278">
            <v>5.3253780570423963</v>
          </cell>
          <cell r="M1278">
            <v>6.12</v>
          </cell>
          <cell r="O1278">
            <v>0</v>
          </cell>
          <cell r="Q1278">
            <v>0</v>
          </cell>
          <cell r="S1278">
            <v>0</v>
          </cell>
          <cell r="U1278">
            <v>0</v>
          </cell>
          <cell r="W1278">
            <v>0</v>
          </cell>
        </row>
        <row r="1279">
          <cell r="G1279" t="str">
            <v>Turfing to surfaces sloping at more than 10 degrees to the horizontal.</v>
          </cell>
          <cell r="H1279" t="str">
            <v>m2</v>
          </cell>
          <cell r="I1279">
            <v>5.3633611330678574</v>
          </cell>
          <cell r="K1279">
            <v>5.7319379042456617</v>
          </cell>
          <cell r="M1279">
            <v>7.4</v>
          </cell>
          <cell r="O1279">
            <v>0</v>
          </cell>
          <cell r="Q1279">
            <v>0</v>
          </cell>
          <cell r="S1279">
            <v>0</v>
          </cell>
          <cell r="U1279">
            <v>0</v>
          </cell>
          <cell r="W1279">
            <v>0</v>
          </cell>
        </row>
        <row r="1280">
          <cell r="I1280" t="str">
            <v/>
          </cell>
        </row>
        <row r="1281">
          <cell r="I1281" t="str">
            <v/>
          </cell>
        </row>
        <row r="1282">
          <cell r="I1282" t="str">
            <v/>
          </cell>
        </row>
        <row r="1283">
          <cell r="G1283" t="str">
            <v>&lt;Select&gt;</v>
          </cell>
          <cell r="I1283" t="str">
            <v/>
          </cell>
        </row>
        <row r="1284">
          <cell r="I1284" t="str">
            <v/>
          </cell>
        </row>
        <row r="1285">
          <cell r="G1285" t="str">
            <v>&lt;Select&gt;</v>
          </cell>
          <cell r="I1285" t="str">
            <v/>
          </cell>
        </row>
        <row r="1286">
          <cell r="G1286" t="str">
            <v>Surface preparation, general surfaces, abrading to remove detrimental contamination to sound paint</v>
          </cell>
          <cell r="H1286" t="str">
            <v>m2</v>
          </cell>
          <cell r="I1286">
            <v>11.521944823605946</v>
          </cell>
          <cell r="K1286">
            <v>18.968911901672357</v>
          </cell>
        </row>
        <row r="1287">
          <cell r="G1287" t="str">
            <v>Surface preparation, edges of composite concrete/steel joint, abrading to remove detrimental contamination to sound paint</v>
          </cell>
          <cell r="H1287" t="str">
            <v>m</v>
          </cell>
          <cell r="I1287">
            <v>6.1568924161423118</v>
          </cell>
          <cell r="K1287">
            <v>8.8192157668006548</v>
          </cell>
        </row>
        <row r="1288">
          <cell r="G1288" t="str">
            <v>Surface preparation, parapets, pedestrian guardrails and the like, abrading to remove detrimental contamination to sound paint</v>
          </cell>
          <cell r="H1288" t="str">
            <v>m</v>
          </cell>
          <cell r="I1288">
            <v>11.483082320985876</v>
          </cell>
          <cell r="K1288">
            <v>14.4391507984055</v>
          </cell>
        </row>
        <row r="1289">
          <cell r="G1289" t="str">
            <v>Surface preparation, road lighting, columns and the like, abrading to remove detrimental contamination to sound paint</v>
          </cell>
          <cell r="H1289" t="str">
            <v>no</v>
          </cell>
          <cell r="I1289">
            <v>52.097117729341122</v>
          </cell>
          <cell r="K1289">
            <v>65.262601991588596</v>
          </cell>
        </row>
        <row r="1290">
          <cell r="G1290" t="str">
            <v>Surface preparation, general surfaces, abrading to remove unsound paint to sound paint</v>
          </cell>
          <cell r="H1290" t="str">
            <v>m2</v>
          </cell>
          <cell r="I1290">
            <v>15.794451458522875</v>
          </cell>
          <cell r="K1290">
            <v>22.46338246002011</v>
          </cell>
        </row>
        <row r="1291">
          <cell r="G1291" t="str">
            <v>Surface preparation, edges of composite concrete/steel joint, abrading to remove unsound paint to sound paint</v>
          </cell>
          <cell r="H1291" t="str">
            <v>m</v>
          </cell>
          <cell r="I1291">
            <v>8.4354312706643739</v>
          </cell>
          <cell r="K1291">
            <v>10.67361943241208</v>
          </cell>
        </row>
        <row r="1292">
          <cell r="G1292" t="str">
            <v>Surface preparation, parapets, pedestrian guardrails and the like, abrading to remove unsound paint to sound paint</v>
          </cell>
          <cell r="H1292" t="str">
            <v>m</v>
          </cell>
          <cell r="I1292">
            <v>19.161621095142937</v>
          </cell>
          <cell r="K1292">
            <v>22.602066965424019</v>
          </cell>
        </row>
        <row r="1293">
          <cell r="G1293" t="str">
            <v>Surface preparation, road lighting, columns and the like, abrading to remove unsound paint to sound paint</v>
          </cell>
          <cell r="H1293" t="str">
            <v>no</v>
          </cell>
          <cell r="I1293">
            <v>75.685706167036997</v>
          </cell>
          <cell r="K1293">
            <v>111.7923617291231</v>
          </cell>
        </row>
        <row r="1294">
          <cell r="G1294" t="str">
            <v>Surface preparation, general surfaces, combined wet/dry blast cleaning to remove unsound paint to sound paint</v>
          </cell>
          <cell r="H1294" t="str">
            <v>m2</v>
          </cell>
          <cell r="I1294">
            <v>38.552534910673792</v>
          </cell>
          <cell r="K1294">
            <v>50.335298393313352</v>
          </cell>
          <cell r="M1294">
            <v>9.25</v>
          </cell>
        </row>
        <row r="1295">
          <cell r="G1295" t="str">
            <v>Surface preparation, edges of composite concrete/steel joint, combined wet/dry blast cleaning to remove unsound paint to sound paint</v>
          </cell>
          <cell r="H1295" t="str">
            <v>m</v>
          </cell>
          <cell r="I1295">
            <v>19.414026383444064</v>
          </cell>
          <cell r="K1295">
            <v>24.107899310889003</v>
          </cell>
        </row>
        <row r="1296">
          <cell r="G1296" t="str">
            <v>Surface preparation, parapets, pedestrian guardrails and the like, combined wet/dry blast cleaning to remove unsound paint to sound paint</v>
          </cell>
          <cell r="H1296" t="str">
            <v>m</v>
          </cell>
          <cell r="I1296">
            <v>52.010138812426497</v>
          </cell>
          <cell r="K1296">
            <v>56.315007877826382</v>
          </cell>
        </row>
        <row r="1297">
          <cell r="G1297" t="str">
            <v>Surface preparation, road lighting, columns and the like, combined wet/dry blast cleaning to remove unsound paint to sound paint</v>
          </cell>
          <cell r="H1297" t="str">
            <v>no</v>
          </cell>
          <cell r="I1297">
            <v>200.76212688868586</v>
          </cell>
          <cell r="K1297">
            <v>242.54658728154905</v>
          </cell>
        </row>
        <row r="1298">
          <cell r="G1298" t="str">
            <v>Surface preparation, general surfaces, combined wet/dry blast cleaning to remove all paint to clean steel</v>
          </cell>
          <cell r="H1298" t="str">
            <v>m2</v>
          </cell>
          <cell r="I1298">
            <v>53.889035631042752</v>
          </cell>
          <cell r="K1298">
            <v>62.805290372521128</v>
          </cell>
        </row>
        <row r="1299">
          <cell r="G1299" t="str">
            <v>Surface preparation, edges of composite concrete/steel joint, combined wet/dry blast cleaning to remove all paint to clean steel</v>
          </cell>
          <cell r="H1299" t="str">
            <v>m</v>
          </cell>
          <cell r="I1299">
            <v>24.089962270633876</v>
          </cell>
          <cell r="K1299">
            <v>28.971583609962039</v>
          </cell>
        </row>
        <row r="1300">
          <cell r="G1300" t="str">
            <v>Surface preparation, parapets, pedestrian guardrails and the like, combined wet/dry blast cleaning to remove all paint to clean steel</v>
          </cell>
          <cell r="H1300" t="str">
            <v>m</v>
          </cell>
          <cell r="I1300">
            <v>86.323884139518739</v>
          </cell>
          <cell r="K1300">
            <v>96.502290505767931</v>
          </cell>
        </row>
        <row r="1301">
          <cell r="G1301" t="str">
            <v>Surface preparation, road lighting, columns and the like, combined wet/dry blast cleaning to remove all paint to clean steel</v>
          </cell>
          <cell r="H1301" t="str">
            <v>no</v>
          </cell>
          <cell r="I1301">
            <v>275.15800241053205</v>
          </cell>
          <cell r="K1301">
            <v>379.31400973873724</v>
          </cell>
        </row>
        <row r="1305">
          <cell r="I1305" t="str">
            <v/>
          </cell>
        </row>
        <row r="1306">
          <cell r="G1306" t="str">
            <v>&lt;Select&gt;</v>
          </cell>
          <cell r="I1306" t="str">
            <v/>
          </cell>
        </row>
        <row r="1307">
          <cell r="I1307" t="str">
            <v/>
          </cell>
        </row>
        <row r="1308">
          <cell r="G1308" t="str">
            <v>&lt;Select&gt;</v>
          </cell>
          <cell r="I1308" t="str">
            <v/>
          </cell>
        </row>
        <row r="1309">
          <cell r="G1309" t="str">
            <v>&lt;Insert&gt;</v>
          </cell>
          <cell r="H1309" t="str">
            <v>m2</v>
          </cell>
          <cell r="O1309">
            <v>0</v>
          </cell>
          <cell r="Q1309">
            <v>0</v>
          </cell>
          <cell r="S1309">
            <v>0</v>
          </cell>
          <cell r="U1309">
            <v>0</v>
          </cell>
          <cell r="W1309">
            <v>0</v>
          </cell>
        </row>
        <row r="1310">
          <cell r="G1310" t="str">
            <v>&lt;Insert&gt;</v>
          </cell>
          <cell r="H1310" t="str">
            <v>m</v>
          </cell>
          <cell r="O1310">
            <v>0</v>
          </cell>
          <cell r="Q1310">
            <v>0</v>
          </cell>
          <cell r="S1310">
            <v>0</v>
          </cell>
          <cell r="U1310">
            <v>0</v>
          </cell>
          <cell r="W1310">
            <v>0</v>
          </cell>
        </row>
        <row r="1311">
          <cell r="G1311" t="str">
            <v>&lt;Insert&gt;</v>
          </cell>
          <cell r="H1311" t="str">
            <v>m</v>
          </cell>
          <cell r="O1311">
            <v>0</v>
          </cell>
          <cell r="Q1311">
            <v>0</v>
          </cell>
          <cell r="S1311">
            <v>0</v>
          </cell>
          <cell r="U1311">
            <v>0</v>
          </cell>
          <cell r="W1311">
            <v>0</v>
          </cell>
        </row>
        <row r="1312">
          <cell r="G1312" t="str">
            <v>&lt;Insert&gt;</v>
          </cell>
          <cell r="H1312" t="str">
            <v>no</v>
          </cell>
          <cell r="O1312">
            <v>0</v>
          </cell>
          <cell r="Q1312">
            <v>0</v>
          </cell>
          <cell r="S1312">
            <v>0</v>
          </cell>
          <cell r="U1312">
            <v>0</v>
          </cell>
          <cell r="W1312">
            <v>0</v>
          </cell>
        </row>
        <row r="1313">
          <cell r="G1313" t="str">
            <v>&lt;Insert&gt;</v>
          </cell>
          <cell r="H1313" t="str">
            <v>m2</v>
          </cell>
          <cell r="O1313">
            <v>0</v>
          </cell>
          <cell r="Q1313">
            <v>0</v>
          </cell>
          <cell r="S1313">
            <v>0</v>
          </cell>
          <cell r="U1313">
            <v>0</v>
          </cell>
          <cell r="W1313">
            <v>0</v>
          </cell>
        </row>
        <row r="1315">
          <cell r="I1315" t="str">
            <v/>
          </cell>
        </row>
        <row r="1316">
          <cell r="G1316" t="str">
            <v>&lt;Select&gt;</v>
          </cell>
          <cell r="I1316" t="str">
            <v/>
          </cell>
        </row>
        <row r="1317">
          <cell r="G1317" t="str">
            <v>OLE - conductor including catenary support</v>
          </cell>
          <cell r="H1317" t="str">
            <v>m</v>
          </cell>
          <cell r="I1317">
            <v>100</v>
          </cell>
          <cell r="O1317">
            <v>7.5056099999999999</v>
          </cell>
          <cell r="Q1317">
            <v>7.4871299999999996</v>
          </cell>
          <cell r="S1317">
            <v>1.848E-2</v>
          </cell>
          <cell r="U1317">
            <v>1.0389999999999999</v>
          </cell>
          <cell r="W1317">
            <v>1.4</v>
          </cell>
        </row>
        <row r="1318">
          <cell r="G1318" t="str">
            <v>OLE - single arm</v>
          </cell>
          <cell r="H1318" t="str">
            <v>no</v>
          </cell>
          <cell r="I1318">
            <v>25000</v>
          </cell>
          <cell r="O1318">
            <v>1668.12942</v>
          </cell>
          <cell r="Q1318">
            <v>1644.8947800000001</v>
          </cell>
          <cell r="S1318">
            <v>23.234640000000002</v>
          </cell>
          <cell r="U1318">
            <v>415.6</v>
          </cell>
          <cell r="W1318">
            <v>4100.2</v>
          </cell>
        </row>
        <row r="1319">
          <cell r="G1319" t="str">
            <v>OLE - gantry</v>
          </cell>
          <cell r="H1319" t="str">
            <v>no</v>
          </cell>
          <cell r="I1319">
            <v>40000</v>
          </cell>
          <cell r="O1319">
            <v>3336.25884</v>
          </cell>
          <cell r="Q1319">
            <v>3289.7895600000002</v>
          </cell>
          <cell r="S1319">
            <v>46.469280000000005</v>
          </cell>
          <cell r="U1319">
            <v>2078</v>
          </cell>
          <cell r="W1319">
            <v>8200.4</v>
          </cell>
        </row>
        <row r="1320">
          <cell r="G1320" t="str">
            <v>&lt;Insert&gt;</v>
          </cell>
          <cell r="H1320" t="str">
            <v>no</v>
          </cell>
          <cell r="O1320">
            <v>0</v>
          </cell>
          <cell r="Q1320">
            <v>0</v>
          </cell>
          <cell r="S1320">
            <v>0</v>
          </cell>
          <cell r="U1320">
            <v>0</v>
          </cell>
          <cell r="W1320">
            <v>0</v>
          </cell>
        </row>
        <row r="1321">
          <cell r="G1321" t="str">
            <v>&lt;Insert&gt;</v>
          </cell>
          <cell r="H1321" t="str">
            <v>m2</v>
          </cell>
          <cell r="O1321">
            <v>0</v>
          </cell>
          <cell r="Q1321">
            <v>0</v>
          </cell>
          <cell r="S1321">
            <v>0</v>
          </cell>
          <cell r="U1321">
            <v>0</v>
          </cell>
          <cell r="W1321">
            <v>0</v>
          </cell>
        </row>
        <row r="1323">
          <cell r="I1323" t="str">
            <v/>
          </cell>
        </row>
        <row r="1324">
          <cell r="G1324" t="str">
            <v>&lt;Select&gt;</v>
          </cell>
          <cell r="I1324" t="str">
            <v/>
          </cell>
        </row>
        <row r="1325">
          <cell r="G1325" t="str">
            <v>&lt;Insert&gt;</v>
          </cell>
          <cell r="H1325" t="str">
            <v>m2</v>
          </cell>
          <cell r="O1325">
            <v>0</v>
          </cell>
          <cell r="Q1325">
            <v>0</v>
          </cell>
          <cell r="S1325">
            <v>0</v>
          </cell>
          <cell r="U1325">
            <v>0</v>
          </cell>
          <cell r="W1325">
            <v>0</v>
          </cell>
        </row>
        <row r="1326">
          <cell r="G1326" t="str">
            <v>&lt;Insert&gt;</v>
          </cell>
          <cell r="H1326" t="str">
            <v>m</v>
          </cell>
          <cell r="O1326">
            <v>0</v>
          </cell>
          <cell r="Q1326">
            <v>0</v>
          </cell>
          <cell r="S1326">
            <v>0</v>
          </cell>
          <cell r="U1326">
            <v>0</v>
          </cell>
          <cell r="W1326">
            <v>0</v>
          </cell>
        </row>
        <row r="1327">
          <cell r="G1327" t="str">
            <v>&lt;Insert&gt;</v>
          </cell>
          <cell r="H1327" t="str">
            <v>m</v>
          </cell>
          <cell r="O1327">
            <v>0</v>
          </cell>
          <cell r="Q1327">
            <v>0</v>
          </cell>
          <cell r="S1327">
            <v>0</v>
          </cell>
          <cell r="U1327">
            <v>0</v>
          </cell>
          <cell r="W1327">
            <v>0</v>
          </cell>
        </row>
        <row r="1328">
          <cell r="G1328" t="str">
            <v>&lt;Insert&gt;</v>
          </cell>
          <cell r="H1328" t="str">
            <v>no</v>
          </cell>
          <cell r="O1328">
            <v>0</v>
          </cell>
          <cell r="Q1328">
            <v>0</v>
          </cell>
          <cell r="S1328">
            <v>0</v>
          </cell>
          <cell r="U1328">
            <v>0</v>
          </cell>
          <cell r="W1328">
            <v>0</v>
          </cell>
        </row>
        <row r="1329">
          <cell r="G1329" t="str">
            <v>&lt;Insert&gt;</v>
          </cell>
          <cell r="H1329" t="str">
            <v>m2</v>
          </cell>
          <cell r="O1329">
            <v>0</v>
          </cell>
          <cell r="Q1329">
            <v>0</v>
          </cell>
          <cell r="S1329">
            <v>0</v>
          </cell>
          <cell r="U1329">
            <v>0</v>
          </cell>
          <cell r="W1329">
            <v>0</v>
          </cell>
        </row>
        <row r="1331">
          <cell r="I1331" t="str">
            <v/>
          </cell>
        </row>
        <row r="1332">
          <cell r="G1332" t="str">
            <v>&lt;Select&gt;</v>
          </cell>
          <cell r="I1332" t="str">
            <v/>
          </cell>
        </row>
        <row r="1333">
          <cell r="G1333" t="str">
            <v>Ballast</v>
          </cell>
          <cell r="H1333" t="str">
            <v>m3</v>
          </cell>
          <cell r="I1333">
            <v>40</v>
          </cell>
          <cell r="O1333">
            <v>31.131375000000002</v>
          </cell>
          <cell r="Q1333">
            <v>25.191375000000001</v>
          </cell>
          <cell r="S1333">
            <v>5.94</v>
          </cell>
          <cell r="U1333">
            <v>2.3233333333333333</v>
          </cell>
          <cell r="W1333">
            <v>1500</v>
          </cell>
        </row>
        <row r="1334">
          <cell r="G1334" t="str">
            <v>Rail (56kg/m)</v>
          </cell>
          <cell r="H1334" t="str">
            <v>m</v>
          </cell>
          <cell r="I1334">
            <v>100</v>
          </cell>
          <cell r="O1334">
            <v>100.85039999999999</v>
          </cell>
          <cell r="Q1334">
            <v>100.1112</v>
          </cell>
          <cell r="S1334">
            <v>0.73920000000000008</v>
          </cell>
          <cell r="U1334">
            <v>2.0779999999999998</v>
          </cell>
          <cell r="W1334">
            <v>56</v>
          </cell>
        </row>
        <row r="1335">
          <cell r="G1335" t="str">
            <v>Concrete sleepers including rail fixings</v>
          </cell>
          <cell r="H1335" t="str">
            <v>no</v>
          </cell>
          <cell r="I1335">
            <v>40</v>
          </cell>
          <cell r="O1335">
            <v>171.07323880000001</v>
          </cell>
          <cell r="Q1335">
            <v>169.15860520000001</v>
          </cell>
          <cell r="S1335">
            <v>1.9146336000000002</v>
          </cell>
          <cell r="U1335">
            <v>6.9266666666666667</v>
          </cell>
          <cell r="W1335">
            <v>360.12</v>
          </cell>
        </row>
        <row r="1336">
          <cell r="G1336" t="str">
            <v>Timber sleepers including rail fixings</v>
          </cell>
          <cell r="H1336" t="str">
            <v>no</v>
          </cell>
          <cell r="O1336">
            <v>0</v>
          </cell>
          <cell r="Q1336">
            <v>0</v>
          </cell>
          <cell r="S1336">
            <v>0</v>
          </cell>
          <cell r="U1336">
            <v>0</v>
          </cell>
          <cell r="W1336">
            <v>0</v>
          </cell>
        </row>
        <row r="1337">
          <cell r="G1337" t="str">
            <v>&lt;Insert&gt;</v>
          </cell>
          <cell r="H1337" t="str">
            <v>m2</v>
          </cell>
          <cell r="O1337">
            <v>0</v>
          </cell>
          <cell r="Q1337">
            <v>0</v>
          </cell>
          <cell r="S1337">
            <v>0</v>
          </cell>
          <cell r="U1337">
            <v>0</v>
          </cell>
          <cell r="W1337">
            <v>0</v>
          </cell>
        </row>
        <row r="1339">
          <cell r="I1339" t="str">
            <v/>
          </cell>
        </row>
        <row r="1340">
          <cell r="G1340" t="str">
            <v>&lt;Select&gt;</v>
          </cell>
          <cell r="I1340" t="str">
            <v/>
          </cell>
        </row>
        <row r="1341">
          <cell r="G1341" t="str">
            <v>&lt;Insert&gt;</v>
          </cell>
          <cell r="H1341" t="str">
            <v>m2</v>
          </cell>
          <cell r="O1341">
            <v>0</v>
          </cell>
          <cell r="Q1341">
            <v>0</v>
          </cell>
          <cell r="S1341">
            <v>0</v>
          </cell>
          <cell r="U1341">
            <v>0</v>
          </cell>
          <cell r="W1341">
            <v>0</v>
          </cell>
        </row>
        <row r="1342">
          <cell r="G1342" t="str">
            <v>&lt;Insert&gt;</v>
          </cell>
          <cell r="H1342" t="str">
            <v>m</v>
          </cell>
          <cell r="O1342">
            <v>0</v>
          </cell>
          <cell r="Q1342">
            <v>0</v>
          </cell>
          <cell r="S1342">
            <v>0</v>
          </cell>
          <cell r="U1342">
            <v>0</v>
          </cell>
          <cell r="W1342">
            <v>0</v>
          </cell>
        </row>
        <row r="1343">
          <cell r="G1343" t="str">
            <v>&lt;Insert&gt;</v>
          </cell>
          <cell r="H1343" t="str">
            <v>m</v>
          </cell>
          <cell r="O1343">
            <v>0</v>
          </cell>
          <cell r="Q1343">
            <v>0</v>
          </cell>
          <cell r="S1343">
            <v>0</v>
          </cell>
          <cell r="U1343">
            <v>0</v>
          </cell>
          <cell r="W1343">
            <v>0</v>
          </cell>
        </row>
        <row r="1344">
          <cell r="G1344" t="str">
            <v>&lt;Insert&gt;</v>
          </cell>
          <cell r="H1344" t="str">
            <v>no</v>
          </cell>
          <cell r="O1344">
            <v>0</v>
          </cell>
          <cell r="Q1344">
            <v>0</v>
          </cell>
          <cell r="S1344">
            <v>0</v>
          </cell>
          <cell r="U1344">
            <v>0</v>
          </cell>
          <cell r="W1344">
            <v>0</v>
          </cell>
        </row>
        <row r="1345">
          <cell r="G1345" t="str">
            <v>&lt;Insert&gt;</v>
          </cell>
          <cell r="H1345" t="str">
            <v>m2</v>
          </cell>
          <cell r="O1345">
            <v>0</v>
          </cell>
          <cell r="Q1345">
            <v>0</v>
          </cell>
          <cell r="S1345">
            <v>0</v>
          </cell>
          <cell r="U1345">
            <v>0</v>
          </cell>
          <cell r="W1345">
            <v>0</v>
          </cell>
        </row>
        <row r="1347">
          <cell r="I1347" t="str">
            <v/>
          </cell>
        </row>
        <row r="1348">
          <cell r="G1348" t="str">
            <v>&lt;Select&gt;</v>
          </cell>
          <cell r="I1348" t="str">
            <v/>
          </cell>
        </row>
        <row r="1349">
          <cell r="G1349" t="str">
            <v>&lt;Insert&gt;</v>
          </cell>
          <cell r="H1349" t="str">
            <v>m2</v>
          </cell>
          <cell r="O1349">
            <v>0</v>
          </cell>
          <cell r="Q1349">
            <v>0</v>
          </cell>
          <cell r="S1349">
            <v>0</v>
          </cell>
          <cell r="U1349">
            <v>0</v>
          </cell>
          <cell r="W1349">
            <v>0</v>
          </cell>
        </row>
        <row r="1350">
          <cell r="G1350" t="str">
            <v>&lt;Insert&gt;</v>
          </cell>
          <cell r="H1350" t="str">
            <v>m</v>
          </cell>
          <cell r="O1350">
            <v>0</v>
          </cell>
          <cell r="Q1350">
            <v>0</v>
          </cell>
          <cell r="S1350">
            <v>0</v>
          </cell>
          <cell r="U1350">
            <v>0</v>
          </cell>
          <cell r="W1350">
            <v>0</v>
          </cell>
        </row>
        <row r="1351">
          <cell r="G1351" t="str">
            <v>&lt;Insert&gt;</v>
          </cell>
          <cell r="H1351" t="str">
            <v>m</v>
          </cell>
          <cell r="O1351">
            <v>0</v>
          </cell>
          <cell r="Q1351">
            <v>0</v>
          </cell>
          <cell r="S1351">
            <v>0</v>
          </cell>
          <cell r="U1351">
            <v>0</v>
          </cell>
          <cell r="W1351">
            <v>0</v>
          </cell>
        </row>
        <row r="1352">
          <cell r="G1352" t="str">
            <v>&lt;Insert&gt;</v>
          </cell>
          <cell r="H1352" t="str">
            <v>no</v>
          </cell>
          <cell r="O1352">
            <v>0</v>
          </cell>
          <cell r="Q1352">
            <v>0</v>
          </cell>
          <cell r="S1352">
            <v>0</v>
          </cell>
          <cell r="U1352">
            <v>0</v>
          </cell>
          <cell r="W1352">
            <v>0</v>
          </cell>
        </row>
        <row r="1353">
          <cell r="G1353" t="str">
            <v>&lt;Insert&gt;</v>
          </cell>
          <cell r="H1353" t="str">
            <v>m2</v>
          </cell>
          <cell r="O1353">
            <v>0</v>
          </cell>
          <cell r="Q1353">
            <v>0</v>
          </cell>
          <cell r="S1353">
            <v>0</v>
          </cell>
          <cell r="U1353">
            <v>0</v>
          </cell>
          <cell r="W1353">
            <v>0</v>
          </cell>
        </row>
        <row r="1355">
          <cell r="I1355" t="str">
            <v/>
          </cell>
        </row>
        <row r="1356">
          <cell r="G1356" t="str">
            <v>&lt;Select&gt;</v>
          </cell>
          <cell r="I1356" t="str">
            <v/>
          </cell>
        </row>
        <row r="1357">
          <cell r="G1357" t="str">
            <v>&lt;Insert&gt;</v>
          </cell>
          <cell r="H1357" t="str">
            <v>m2</v>
          </cell>
          <cell r="O1357">
            <v>0</v>
          </cell>
          <cell r="Q1357">
            <v>0</v>
          </cell>
          <cell r="S1357">
            <v>0</v>
          </cell>
          <cell r="U1357">
            <v>0</v>
          </cell>
          <cell r="W1357">
            <v>0</v>
          </cell>
        </row>
        <row r="1358">
          <cell r="G1358" t="str">
            <v>&lt;Insert&gt;</v>
          </cell>
          <cell r="H1358" t="str">
            <v>m</v>
          </cell>
          <cell r="O1358">
            <v>0</v>
          </cell>
          <cell r="Q1358">
            <v>0</v>
          </cell>
          <cell r="S1358">
            <v>0</v>
          </cell>
          <cell r="U1358">
            <v>0</v>
          </cell>
          <cell r="W1358">
            <v>0</v>
          </cell>
        </row>
        <row r="1359">
          <cell r="G1359" t="str">
            <v>&lt;Insert&gt;</v>
          </cell>
          <cell r="H1359" t="str">
            <v>m</v>
          </cell>
          <cell r="O1359">
            <v>0</v>
          </cell>
          <cell r="Q1359">
            <v>0</v>
          </cell>
          <cell r="S1359">
            <v>0</v>
          </cell>
          <cell r="U1359">
            <v>0</v>
          </cell>
          <cell r="W1359">
            <v>0</v>
          </cell>
        </row>
        <row r="1360">
          <cell r="G1360" t="str">
            <v>&lt;Insert&gt;</v>
          </cell>
          <cell r="H1360" t="str">
            <v>no</v>
          </cell>
          <cell r="O1360">
            <v>0</v>
          </cell>
          <cell r="Q1360">
            <v>0</v>
          </cell>
          <cell r="S1360">
            <v>0</v>
          </cell>
          <cell r="U1360">
            <v>0</v>
          </cell>
          <cell r="W1360">
            <v>0</v>
          </cell>
        </row>
        <row r="1361">
          <cell r="G1361" t="str">
            <v>&lt;Insert&gt;</v>
          </cell>
          <cell r="H1361" t="str">
            <v>m2</v>
          </cell>
          <cell r="O1361">
            <v>0</v>
          </cell>
          <cell r="Q1361">
            <v>0</v>
          </cell>
          <cell r="S1361">
            <v>0</v>
          </cell>
          <cell r="U1361">
            <v>0</v>
          </cell>
          <cell r="W1361">
            <v>0</v>
          </cell>
        </row>
        <row r="1363">
          <cell r="I1363" t="str">
            <v/>
          </cell>
        </row>
        <row r="1364">
          <cell r="G1364" t="str">
            <v>&lt;Select&gt;</v>
          </cell>
          <cell r="I1364" t="str">
            <v/>
          </cell>
        </row>
        <row r="1365">
          <cell r="G1365" t="str">
            <v>&lt;Insert&gt;</v>
          </cell>
          <cell r="H1365" t="str">
            <v>m2</v>
          </cell>
          <cell r="O1365">
            <v>0</v>
          </cell>
          <cell r="Q1365">
            <v>0</v>
          </cell>
          <cell r="S1365">
            <v>0</v>
          </cell>
          <cell r="U1365">
            <v>0</v>
          </cell>
          <cell r="W1365">
            <v>0</v>
          </cell>
        </row>
        <row r="1366">
          <cell r="G1366" t="str">
            <v>&lt;Insert&gt;</v>
          </cell>
          <cell r="H1366" t="str">
            <v>m</v>
          </cell>
          <cell r="O1366">
            <v>0</v>
          </cell>
          <cell r="Q1366">
            <v>0</v>
          </cell>
          <cell r="S1366">
            <v>0</v>
          </cell>
          <cell r="U1366">
            <v>0</v>
          </cell>
          <cell r="W1366">
            <v>0</v>
          </cell>
        </row>
        <row r="1367">
          <cell r="G1367" t="str">
            <v>&lt;Insert&gt;</v>
          </cell>
          <cell r="H1367" t="str">
            <v>m</v>
          </cell>
          <cell r="O1367">
            <v>0</v>
          </cell>
          <cell r="Q1367">
            <v>0</v>
          </cell>
          <cell r="S1367">
            <v>0</v>
          </cell>
          <cell r="U1367">
            <v>0</v>
          </cell>
          <cell r="W1367">
            <v>0</v>
          </cell>
        </row>
        <row r="1368">
          <cell r="G1368" t="str">
            <v>&lt;Insert&gt;</v>
          </cell>
          <cell r="H1368" t="str">
            <v>no</v>
          </cell>
          <cell r="O1368">
            <v>0</v>
          </cell>
          <cell r="Q1368">
            <v>0</v>
          </cell>
          <cell r="S1368">
            <v>0</v>
          </cell>
          <cell r="U1368">
            <v>0</v>
          </cell>
          <cell r="W1368">
            <v>0</v>
          </cell>
        </row>
        <row r="1369">
          <cell r="G1369" t="str">
            <v>&lt;Insert&gt;</v>
          </cell>
          <cell r="H1369" t="str">
            <v>m2</v>
          </cell>
          <cell r="O1369">
            <v>0</v>
          </cell>
          <cell r="Q1369">
            <v>0</v>
          </cell>
          <cell r="S1369">
            <v>0</v>
          </cell>
          <cell r="U1369">
            <v>0</v>
          </cell>
          <cell r="W1369">
            <v>0</v>
          </cell>
        </row>
      </sheetData>
      <sheetData sheetId="5"/>
      <sheetData sheetId="6"/>
      <sheetData sheetId="7">
        <row r="19">
          <cell r="J19" t="str">
            <v>bob baker</v>
          </cell>
        </row>
      </sheetData>
      <sheetData sheetId="8"/>
      <sheetData sheetId="9">
        <row r="2">
          <cell r="F2" t="str">
            <v>Bob Baker</v>
          </cell>
          <cell r="I2" t="b">
            <v>1</v>
          </cell>
        </row>
        <row r="3">
          <cell r="F3" t="str">
            <v>David Dowdell</v>
          </cell>
        </row>
        <row r="4">
          <cell r="C4" t="str">
            <v>Aggregates</v>
          </cell>
          <cell r="F4" t="str">
            <v>Helen Jackson</v>
          </cell>
        </row>
        <row r="5">
          <cell r="C5" t="str">
            <v>Cements</v>
          </cell>
        </row>
        <row r="6">
          <cell r="C6" t="str">
            <v>Concrete mixes</v>
          </cell>
        </row>
        <row r="7">
          <cell r="C7" t="str">
            <v>Steel</v>
          </cell>
        </row>
        <row r="8">
          <cell r="C8" t="str">
            <v>Timber</v>
          </cell>
        </row>
        <row r="9">
          <cell r="C9" t="str">
            <v>Non-ferrous Metals</v>
          </cell>
        </row>
        <row r="10">
          <cell r="C10" t="str">
            <v>Bricks, Blocks and Masonary</v>
          </cell>
        </row>
        <row r="11">
          <cell r="C11" t="str">
            <v>Mortar mixes</v>
          </cell>
        </row>
        <row r="12">
          <cell r="C12" t="str">
            <v>Pavement materials</v>
          </cell>
        </row>
        <row r="13">
          <cell r="C13" t="str">
            <v>Pipework</v>
          </cell>
        </row>
        <row r="14">
          <cell r="C14" t="str">
            <v>Fabrics (natural and synthetic)</v>
          </cell>
        </row>
        <row r="15">
          <cell r="C15" t="str">
            <v>Fuels</v>
          </cell>
        </row>
        <row r="16">
          <cell r="C16" t="str">
            <v>Grass seed</v>
          </cell>
        </row>
        <row r="18">
          <cell r="C18" t="str">
            <v>Transport (material supply to site)</v>
          </cell>
        </row>
        <row r="19">
          <cell r="C19" t="str">
            <v>Private Transport</v>
          </cell>
        </row>
        <row r="20">
          <cell r="C20" t="str">
            <v>Public Transport</v>
          </cell>
        </row>
        <row r="21">
          <cell r="C21" t="str">
            <v>Site compound</v>
          </cell>
        </row>
        <row r="24">
          <cell r="C24" t="str">
            <v>&lt;Insert above&gt;</v>
          </cell>
        </row>
        <row r="28">
          <cell r="I28" t="str">
            <v>CO2 (Kg/material Kgs)</v>
          </cell>
        </row>
        <row r="29">
          <cell r="E29" t="str">
            <v>Source ref.</v>
          </cell>
          <cell r="F29" t="str">
            <v>Boundaries</v>
          </cell>
          <cell r="G29" t="str">
            <v>Base</v>
          </cell>
          <cell r="H29" t="str">
            <v>Own</v>
          </cell>
          <cell r="I29" t="str">
            <v>Used</v>
          </cell>
        </row>
        <row r="30">
          <cell r="C30" t="str">
            <v>Quarried aggregate</v>
          </cell>
          <cell r="E30">
            <v>1</v>
          </cell>
          <cell r="F30" t="str">
            <v>cradle to gate</v>
          </cell>
          <cell r="G30">
            <v>0.05</v>
          </cell>
          <cell r="I30">
            <v>0.05</v>
          </cell>
        </row>
        <row r="31">
          <cell r="C31" t="str">
            <v>Recycled aggregate</v>
          </cell>
          <cell r="E31" t="str">
            <v>EA construction Tool</v>
          </cell>
          <cell r="F31" t="str">
            <v>cradle to gate</v>
          </cell>
          <cell r="G31">
            <v>3.6900000000000001E-3</v>
          </cell>
          <cell r="I31">
            <v>3.6900000000000001E-3</v>
          </cell>
        </row>
        <row r="32">
          <cell r="C32" t="str">
            <v>Sand</v>
          </cell>
          <cell r="E32">
            <v>1</v>
          </cell>
          <cell r="F32" t="str">
            <v>cradle to gate</v>
          </cell>
          <cell r="G32">
            <v>5.0000000000000001E-3</v>
          </cell>
          <cell r="I32">
            <v>5.0000000000000001E-3</v>
          </cell>
        </row>
        <row r="33">
          <cell r="C33" t="str">
            <v>Lime</v>
          </cell>
          <cell r="E33">
            <v>1</v>
          </cell>
          <cell r="F33" t="str">
            <v>cradle to gate</v>
          </cell>
          <cell r="G33">
            <v>0.74</v>
          </cell>
          <cell r="I33">
            <v>0.74</v>
          </cell>
        </row>
        <row r="34">
          <cell r="C34" t="str">
            <v>Soil</v>
          </cell>
          <cell r="E34">
            <v>1</v>
          </cell>
          <cell r="F34" t="str">
            <v>cradle to site</v>
          </cell>
          <cell r="G34">
            <v>2.3E-2</v>
          </cell>
          <cell r="I34">
            <v>2.3E-2</v>
          </cell>
        </row>
        <row r="35">
          <cell r="C35" t="str">
            <v>Stone: general</v>
          </cell>
          <cell r="E35">
            <v>1</v>
          </cell>
          <cell r="F35" t="str">
            <v>cradle to gate</v>
          </cell>
          <cell r="G35">
            <v>5.6000000000000001E-2</v>
          </cell>
          <cell r="I35">
            <v>5.6000000000000001E-2</v>
          </cell>
        </row>
        <row r="36">
          <cell r="C36" t="str">
            <v>Stone Gravel/Chippings</v>
          </cell>
          <cell r="E36">
            <v>1</v>
          </cell>
          <cell r="F36" t="str">
            <v>cradle to gate</v>
          </cell>
          <cell r="G36">
            <v>1.7000000000000001E-2</v>
          </cell>
          <cell r="I36">
            <v>1.7000000000000001E-2</v>
          </cell>
        </row>
        <row r="37">
          <cell r="C37" t="str">
            <v>Slate</v>
          </cell>
          <cell r="E37">
            <v>1</v>
          </cell>
          <cell r="F37" t="str">
            <v>cradle to gate</v>
          </cell>
          <cell r="G37">
            <v>3.1E-2</v>
          </cell>
          <cell r="I37">
            <v>3.1E-2</v>
          </cell>
        </row>
        <row r="38">
          <cell r="C38" t="str">
            <v>Clay</v>
          </cell>
          <cell r="E38">
            <v>1</v>
          </cell>
          <cell r="F38" t="str">
            <v>cradle to gate</v>
          </cell>
          <cell r="G38">
            <v>0.22</v>
          </cell>
          <cell r="I38">
            <v>0.22</v>
          </cell>
        </row>
        <row r="39">
          <cell r="I39">
            <v>0</v>
          </cell>
        </row>
        <row r="43">
          <cell r="I43" t="str">
            <v>CO2 (Kg/material Kgs)</v>
          </cell>
        </row>
        <row r="44">
          <cell r="E44" t="str">
            <v>Source ref.</v>
          </cell>
          <cell r="F44" t="str">
            <v>Boundaries</v>
          </cell>
          <cell r="G44" t="str">
            <v>Base</v>
          </cell>
          <cell r="H44" t="str">
            <v>Own</v>
          </cell>
          <cell r="I44" t="str">
            <v>Used</v>
          </cell>
        </row>
        <row r="45">
          <cell r="C45" t="str">
            <v>Cement: unknown</v>
          </cell>
          <cell r="E45">
            <v>1</v>
          </cell>
          <cell r="F45" t="str">
            <v>cradle to gate</v>
          </cell>
          <cell r="G45">
            <v>0.83</v>
          </cell>
          <cell r="I45">
            <v>0.83</v>
          </cell>
        </row>
        <row r="46">
          <cell r="C46" t="str">
            <v>Portland Cement: wet kiln</v>
          </cell>
          <cell r="E46">
            <v>1</v>
          </cell>
          <cell r="F46" t="str">
            <v>cradle to gate</v>
          </cell>
          <cell r="G46">
            <v>0.97</v>
          </cell>
          <cell r="I46">
            <v>0.97</v>
          </cell>
        </row>
        <row r="47">
          <cell r="C47" t="str">
            <v>Portland Cement: semi-wet kiln</v>
          </cell>
          <cell r="E47">
            <v>1</v>
          </cell>
          <cell r="F47" t="str">
            <v>cradle to gate</v>
          </cell>
          <cell r="G47">
            <v>0.93</v>
          </cell>
          <cell r="I47">
            <v>0.93</v>
          </cell>
        </row>
        <row r="48">
          <cell r="C48" t="str">
            <v>Portland Cement: dry kiln</v>
          </cell>
          <cell r="E48">
            <v>1</v>
          </cell>
          <cell r="F48" t="str">
            <v>cradle to gate</v>
          </cell>
          <cell r="G48">
            <v>0.74</v>
          </cell>
          <cell r="I48">
            <v>0.74</v>
          </cell>
        </row>
        <row r="49">
          <cell r="C49" t="str">
            <v>Portland Cement: semi-dry kiln</v>
          </cell>
          <cell r="E49">
            <v>1</v>
          </cell>
          <cell r="F49" t="str">
            <v>cradle to gate</v>
          </cell>
          <cell r="G49">
            <v>0.84</v>
          </cell>
          <cell r="I49">
            <v>0.84</v>
          </cell>
        </row>
        <row r="50">
          <cell r="C50" t="str">
            <v>Fibre Cement</v>
          </cell>
          <cell r="E50">
            <v>1</v>
          </cell>
          <cell r="F50" t="str">
            <v>cradle to gate</v>
          </cell>
          <cell r="G50">
            <v>2.11</v>
          </cell>
          <cell r="I50">
            <v>2.11</v>
          </cell>
        </row>
        <row r="51">
          <cell r="C51" t="str">
            <v>Portland Ash Cement</v>
          </cell>
          <cell r="E51">
            <v>1</v>
          </cell>
          <cell r="F51" t="str">
            <v>cradle to gate</v>
          </cell>
          <cell r="G51">
            <v>0.58499999999999996</v>
          </cell>
          <cell r="I51">
            <v>0.58499999999999996</v>
          </cell>
        </row>
        <row r="52">
          <cell r="C52" t="str">
            <v>Portland Slag Cement: &lt;10% slag</v>
          </cell>
          <cell r="E52">
            <v>1</v>
          </cell>
          <cell r="F52" t="str">
            <v>cradle to gate</v>
          </cell>
          <cell r="G52">
            <v>0.755</v>
          </cell>
          <cell r="I52">
            <v>0.755</v>
          </cell>
        </row>
        <row r="53">
          <cell r="C53" t="str">
            <v>Portland Slag Cement: 60-75% slag</v>
          </cell>
          <cell r="E53">
            <v>1</v>
          </cell>
          <cell r="F53" t="str">
            <v>cradle to gate</v>
          </cell>
          <cell r="G53">
            <v>0.27900000000000003</v>
          </cell>
          <cell r="I53">
            <v>0.27900000000000003</v>
          </cell>
        </row>
        <row r="54">
          <cell r="C54" t="str">
            <v>Soil-Cement</v>
          </cell>
          <cell r="E54">
            <v>1</v>
          </cell>
          <cell r="F54" t="str">
            <v>cradle to gate</v>
          </cell>
          <cell r="G54">
            <v>0.14000000000000001</v>
          </cell>
          <cell r="I54">
            <v>0.14000000000000001</v>
          </cell>
        </row>
        <row r="55">
          <cell r="C55" t="str">
            <v>Cement: Portland / General</v>
          </cell>
          <cell r="E55" t="str">
            <v>ICE database</v>
          </cell>
          <cell r="F55" t="str">
            <v>cradle to gate</v>
          </cell>
          <cell r="G55">
            <v>0.83</v>
          </cell>
          <cell r="I55">
            <v>0.83</v>
          </cell>
        </row>
        <row r="56">
          <cell r="C56" t="str">
            <v>Cement: General, 25% Fly Ash</v>
          </cell>
          <cell r="E56" t="str">
            <v>ICE database</v>
          </cell>
          <cell r="F56" t="str">
            <v>cradle to gate</v>
          </cell>
          <cell r="G56">
            <v>0.62</v>
          </cell>
          <cell r="I56">
            <v>0.62</v>
          </cell>
        </row>
        <row r="57">
          <cell r="C57" t="str">
            <v>Cement: General, 50% Fly Ash</v>
          </cell>
          <cell r="E57" t="str">
            <v>ICE database</v>
          </cell>
          <cell r="F57" t="str">
            <v>cradle to gate</v>
          </cell>
          <cell r="G57">
            <v>0.42</v>
          </cell>
          <cell r="I57">
            <v>0.42</v>
          </cell>
        </row>
        <row r="58">
          <cell r="C58" t="str">
            <v>Cement: General, 25% GGBS</v>
          </cell>
          <cell r="E58" t="str">
            <v>ICE database</v>
          </cell>
          <cell r="F58" t="str">
            <v>cradle to gate</v>
          </cell>
          <cell r="G58">
            <v>0.64</v>
          </cell>
          <cell r="I58">
            <v>0.64</v>
          </cell>
        </row>
        <row r="59">
          <cell r="C59" t="str">
            <v>Cement: General, 50% GGBS</v>
          </cell>
          <cell r="E59" t="str">
            <v>ICE database</v>
          </cell>
          <cell r="F59" t="str">
            <v>cradle to gate</v>
          </cell>
          <cell r="G59">
            <v>0.45</v>
          </cell>
          <cell r="I59">
            <v>0.45</v>
          </cell>
        </row>
        <row r="60">
          <cell r="I60">
            <v>0</v>
          </cell>
        </row>
        <row r="64">
          <cell r="I64" t="str">
            <v>CO2 (Kg/material Kgs)</v>
          </cell>
        </row>
        <row r="65">
          <cell r="E65" t="str">
            <v>Source ref.</v>
          </cell>
          <cell r="F65" t="str">
            <v>Boundaries</v>
          </cell>
          <cell r="G65" t="str">
            <v>Base</v>
          </cell>
          <cell r="H65" t="str">
            <v>Own</v>
          </cell>
          <cell r="I65" t="str">
            <v>Used</v>
          </cell>
        </row>
        <row r="66">
          <cell r="C66" t="str">
            <v>Concrete: C20/25 CEM1</v>
          </cell>
          <cell r="E66" t="str">
            <v>BS5400, BS8110-1, density 2320kg/m3</v>
          </cell>
          <cell r="G66">
            <v>0.10560344827586207</v>
          </cell>
          <cell r="I66">
            <v>0.10560344827586207</v>
          </cell>
        </row>
        <row r="67">
          <cell r="C67" t="str">
            <v>Concrete: C20/25 25% Fly Ash</v>
          </cell>
          <cell r="E67" t="str">
            <v>ICE Database</v>
          </cell>
          <cell r="G67">
            <v>0.10199999999999999</v>
          </cell>
          <cell r="I67">
            <v>0.10199999999999999</v>
          </cell>
        </row>
        <row r="68">
          <cell r="C68" t="str">
            <v>Concrete: C20/25 30% Fly Ash</v>
          </cell>
          <cell r="E68" t="str">
            <v>BS5400, BS8110-1, density 2320kg/m3</v>
          </cell>
          <cell r="G68">
            <v>8.3189655172413793E-2</v>
          </cell>
          <cell r="I68">
            <v>8.3189655172413793E-2</v>
          </cell>
        </row>
        <row r="69">
          <cell r="C69" t="str">
            <v>Concrete: C20/25 50% Fly Ash</v>
          </cell>
          <cell r="E69" t="str">
            <v>ICE Database</v>
          </cell>
          <cell r="G69">
            <v>7.4999999999999997E-2</v>
          </cell>
          <cell r="I69">
            <v>7.4999999999999997E-2</v>
          </cell>
        </row>
        <row r="70">
          <cell r="C70" t="str">
            <v>Concrete: C20/25 25% GGBS</v>
          </cell>
          <cell r="E70" t="str">
            <v>ICE Database</v>
          </cell>
          <cell r="G70">
            <v>0.10299999999999999</v>
          </cell>
          <cell r="I70">
            <v>0.10299999999999999</v>
          </cell>
        </row>
        <row r="71">
          <cell r="C71" t="str">
            <v>Concrete: C20/25 50% GGBS</v>
          </cell>
          <cell r="E71" t="str">
            <v>BS5400, BS8110-1, density 2320kg/m3</v>
          </cell>
          <cell r="G71">
            <v>5.8620689655172413E-2</v>
          </cell>
          <cell r="I71">
            <v>5.8620689655172413E-2</v>
          </cell>
        </row>
        <row r="72">
          <cell r="C72" t="str">
            <v>Concrete: C25/30 CEM1</v>
          </cell>
          <cell r="E72" t="str">
            <v>BS5400, BS8110-1, density 2320kg/m3</v>
          </cell>
          <cell r="G72">
            <v>0.11379310344827587</v>
          </cell>
          <cell r="I72">
            <v>0.11379310344827587</v>
          </cell>
        </row>
        <row r="73">
          <cell r="C73" t="str">
            <v>Concrete: C25/30 25% Fly Ash</v>
          </cell>
          <cell r="E73" t="str">
            <v>ICE Database</v>
          </cell>
          <cell r="G73">
            <v>0.108</v>
          </cell>
          <cell r="I73">
            <v>0.108</v>
          </cell>
        </row>
        <row r="74">
          <cell r="C74" t="str">
            <v>Concrete: C25/30 30% Fly Ash</v>
          </cell>
          <cell r="E74" t="str">
            <v>BS5400, BS8110-1, density 2320kg/m3</v>
          </cell>
          <cell r="G74">
            <v>8.9224137931034481E-2</v>
          </cell>
          <cell r="I74">
            <v>8.9224137931034481E-2</v>
          </cell>
        </row>
        <row r="75">
          <cell r="C75" t="str">
            <v>Concrete: C25/30 50% Fly Ash</v>
          </cell>
          <cell r="E75" t="str">
            <v>ICE Database</v>
          </cell>
          <cell r="G75">
            <v>7.9000000000000001E-2</v>
          </cell>
          <cell r="I75">
            <v>7.9000000000000001E-2</v>
          </cell>
        </row>
        <row r="76">
          <cell r="C76" t="str">
            <v>Concrete: C25/30 25% GGBS</v>
          </cell>
          <cell r="E76" t="str">
            <v>ICE Database</v>
          </cell>
          <cell r="G76">
            <v>0.11</v>
          </cell>
          <cell r="I76">
            <v>0.11</v>
          </cell>
        </row>
        <row r="77">
          <cell r="C77" t="str">
            <v>Concrete: C25/30 50% GGBS</v>
          </cell>
          <cell r="E77" t="str">
            <v>BS5400, BS8110-1, density 2320kg/m3</v>
          </cell>
          <cell r="G77">
            <v>6.2931034482758622E-2</v>
          </cell>
          <cell r="I77">
            <v>6.2931034482758622E-2</v>
          </cell>
        </row>
        <row r="78">
          <cell r="C78" t="str">
            <v>Concrete:C28/35 CEM1</v>
          </cell>
          <cell r="E78" t="str">
            <v>BS5400, BS8110-1, density 2320kg/m3</v>
          </cell>
          <cell r="G78">
            <v>0.12543103448275861</v>
          </cell>
          <cell r="I78">
            <v>0.12543103448275861</v>
          </cell>
        </row>
        <row r="79">
          <cell r="C79" t="str">
            <v>Concrete:C28/35 25% Fly Ash</v>
          </cell>
          <cell r="E79" t="str">
            <v>ICE Database</v>
          </cell>
          <cell r="G79">
            <v>0.12</v>
          </cell>
          <cell r="I79">
            <v>0.12</v>
          </cell>
        </row>
        <row r="80">
          <cell r="C80" t="str">
            <v>Concrete:C28/35 30% Fly Ash</v>
          </cell>
          <cell r="E80" t="str">
            <v>BS5400, BS8110-1, density 2320kg/m3</v>
          </cell>
          <cell r="G80">
            <v>9.7413793103448276E-2</v>
          </cell>
          <cell r="I80">
            <v>9.7413793103448276E-2</v>
          </cell>
        </row>
        <row r="81">
          <cell r="C81" t="str">
            <v>Concrete:C28/35 50% Fly Ash</v>
          </cell>
          <cell r="E81" t="str">
            <v>ICE Database</v>
          </cell>
          <cell r="G81">
            <v>8.6999999999999994E-2</v>
          </cell>
          <cell r="I81">
            <v>8.6999999999999994E-2</v>
          </cell>
        </row>
        <row r="82">
          <cell r="C82" t="str">
            <v>Concrete:C28/35 25% GGBS</v>
          </cell>
          <cell r="E82" t="str">
            <v>ICE Database</v>
          </cell>
          <cell r="G82">
            <v>0.122</v>
          </cell>
          <cell r="I82">
            <v>0.122</v>
          </cell>
        </row>
        <row r="83">
          <cell r="C83" t="str">
            <v>Concrete:C28/35 50% GGBS</v>
          </cell>
          <cell r="E83" t="str">
            <v>BS5400, BS8110-1, density 2320kg/m3</v>
          </cell>
          <cell r="G83">
            <v>6.9396551724137931E-2</v>
          </cell>
          <cell r="I83">
            <v>6.9396551724137931E-2</v>
          </cell>
        </row>
        <row r="84">
          <cell r="C84" t="str">
            <v>Concrete: C32/40 CEM1</v>
          </cell>
          <cell r="E84" t="str">
            <v>BS5400, BS8110-1, density 2320kg/m3</v>
          </cell>
          <cell r="G84">
            <v>0.13275862068965516</v>
          </cell>
          <cell r="I84">
            <v>0.13275862068965516</v>
          </cell>
        </row>
        <row r="85">
          <cell r="C85" t="str">
            <v>Concrete: C32/40 30% Fly Ash</v>
          </cell>
          <cell r="E85" t="str">
            <v>BS5400, BS8110-1, density 2320kg/m3</v>
          </cell>
          <cell r="G85">
            <v>0.10344827586206896</v>
          </cell>
          <cell r="I85">
            <v>0.10344827586206896</v>
          </cell>
        </row>
        <row r="86">
          <cell r="C86" t="str">
            <v>Concrete: C32/40 50% GGBS</v>
          </cell>
          <cell r="E86" t="str">
            <v>BS5400, BS8110-1, density 2320kg/m3</v>
          </cell>
          <cell r="G86">
            <v>7.2844827586206903E-2</v>
          </cell>
          <cell r="I86">
            <v>7.2844827586206903E-2</v>
          </cell>
        </row>
        <row r="87">
          <cell r="C87" t="str">
            <v>Concrete: C35/40 CEM1</v>
          </cell>
          <cell r="E87" t="str">
            <v>BS5400, BS8110-1, density 2320kg/m3</v>
          </cell>
          <cell r="G87">
            <v>0.14008620689655171</v>
          </cell>
          <cell r="I87">
            <v>0.14008620689655171</v>
          </cell>
        </row>
        <row r="88">
          <cell r="C88" t="str">
            <v>Concrete: C35/40 30% Fly Ash</v>
          </cell>
          <cell r="E88" t="str">
            <v>BS5400, BS8110-1, density 2320kg/m3</v>
          </cell>
          <cell r="G88">
            <v>0.10905172413793103</v>
          </cell>
          <cell r="I88">
            <v>0.10905172413793103</v>
          </cell>
        </row>
        <row r="89">
          <cell r="C89" t="str">
            <v>Concrete: C35/40 50% GGBS</v>
          </cell>
          <cell r="E89" t="str">
            <v>BS5400, BS8110-1, density 2320kg/m3</v>
          </cell>
          <cell r="G89">
            <v>7.6724137931034483E-2</v>
          </cell>
          <cell r="I89">
            <v>7.6724137931034483E-2</v>
          </cell>
        </row>
        <row r="90">
          <cell r="C90" t="str">
            <v>Concrete: C35/45 CEM1</v>
          </cell>
          <cell r="E90" t="str">
            <v>ICE Database</v>
          </cell>
          <cell r="G90">
            <v>0.161</v>
          </cell>
          <cell r="I90">
            <v>0.161</v>
          </cell>
        </row>
        <row r="91">
          <cell r="C91" t="str">
            <v>Concrete: C35/45 25% Fly Ash</v>
          </cell>
          <cell r="E91" t="str">
            <v>ICE Database</v>
          </cell>
          <cell r="G91">
            <v>0.126</v>
          </cell>
          <cell r="I91">
            <v>0.126</v>
          </cell>
        </row>
        <row r="92">
          <cell r="C92" t="str">
            <v>Concrete: C35/45 50% Fly Ash</v>
          </cell>
          <cell r="E92" t="str">
            <v>ICE Database</v>
          </cell>
          <cell r="G92">
            <v>9.0999999999999998E-2</v>
          </cell>
          <cell r="I92">
            <v>9.0999999999999998E-2</v>
          </cell>
        </row>
        <row r="93">
          <cell r="C93" t="str">
            <v>Concrete: C35/45 25% GGBS</v>
          </cell>
          <cell r="E93" t="str">
            <v>ICE Database</v>
          </cell>
          <cell r="G93">
            <v>0.129</v>
          </cell>
          <cell r="I93">
            <v>0.129</v>
          </cell>
        </row>
        <row r="94">
          <cell r="C94" t="str">
            <v>Concrete: C35/45 50% GGBS</v>
          </cell>
          <cell r="E94" t="str">
            <v>ICE Database</v>
          </cell>
          <cell r="G94">
            <v>9.6000000000000002E-2</v>
          </cell>
          <cell r="I94">
            <v>9.6000000000000002E-2</v>
          </cell>
        </row>
        <row r="95">
          <cell r="C95" t="str">
            <v>Concrete: C40/50 CEM1</v>
          </cell>
          <cell r="E95" t="str">
            <v>BS5400, BS8110-1, density 2320kg/m3</v>
          </cell>
          <cell r="G95">
            <v>0.14956896551724139</v>
          </cell>
          <cell r="I95">
            <v>0.14956896551724139</v>
          </cell>
        </row>
        <row r="96">
          <cell r="C96" t="str">
            <v>Concrete: C40/50 25% Fly Ash</v>
          </cell>
          <cell r="E96" t="str">
            <v>ICE Database</v>
          </cell>
          <cell r="G96">
            <v>0.13200000000000001</v>
          </cell>
          <cell r="I96">
            <v>0.13200000000000001</v>
          </cell>
        </row>
        <row r="97">
          <cell r="C97" t="str">
            <v>Concrete: C40/50 30% Fly Ash</v>
          </cell>
          <cell r="E97" t="str">
            <v>BS5400, BS8110-1, density 2320kg/m3</v>
          </cell>
          <cell r="G97">
            <v>0.1168103448275862</v>
          </cell>
          <cell r="I97">
            <v>0.1168103448275862</v>
          </cell>
        </row>
        <row r="98">
          <cell r="C98" t="str">
            <v>Concrete: C40/50 50% Fly Ash</v>
          </cell>
          <cell r="E98" t="str">
            <v>ICE Database</v>
          </cell>
          <cell r="G98">
            <v>9.6000000000000002E-2</v>
          </cell>
          <cell r="I98">
            <v>9.6000000000000002E-2</v>
          </cell>
        </row>
        <row r="99">
          <cell r="C99" t="str">
            <v>Concrete: C40/50 25% GGBS</v>
          </cell>
          <cell r="E99" t="str">
            <v>ICE Database</v>
          </cell>
          <cell r="G99">
            <v>0.13500000000000001</v>
          </cell>
          <cell r="I99">
            <v>0.13500000000000001</v>
          </cell>
        </row>
        <row r="100">
          <cell r="C100" t="str">
            <v>Concrete: C40/50 50% GGBS</v>
          </cell>
          <cell r="E100" t="str">
            <v>BS5400, BS8110-1, density 2320kg/m3</v>
          </cell>
          <cell r="G100">
            <v>8.1896551724137928E-2</v>
          </cell>
          <cell r="I100">
            <v>8.1896551724137928E-2</v>
          </cell>
        </row>
        <row r="101">
          <cell r="C101" t="str">
            <v>Concrete: C50 CEM1</v>
          </cell>
          <cell r="E101" t="str">
            <v>ICE Database</v>
          </cell>
          <cell r="G101">
            <v>0.21199999999999999</v>
          </cell>
          <cell r="I101">
            <v>0.21199999999999999</v>
          </cell>
        </row>
        <row r="102">
          <cell r="C102" t="str">
            <v>Concrete: C50 25% Fly Ash</v>
          </cell>
          <cell r="E102" t="str">
            <v>ICE Database</v>
          </cell>
          <cell r="G102">
            <v>0.16500000000000001</v>
          </cell>
          <cell r="I102">
            <v>0.16500000000000001</v>
          </cell>
        </row>
        <row r="103">
          <cell r="C103" t="str">
            <v>Concrete: C50 50% Fly Ash</v>
          </cell>
          <cell r="E103" t="str">
            <v>ICE Database</v>
          </cell>
          <cell r="G103">
            <v>0.11700000000000001</v>
          </cell>
          <cell r="I103">
            <v>0.11700000000000001</v>
          </cell>
        </row>
        <row r="104">
          <cell r="C104" t="str">
            <v>Concrete: C50 25% GGBS</v>
          </cell>
          <cell r="E104" t="str">
            <v>ICE Database</v>
          </cell>
          <cell r="G104">
            <v>0.16800000000000001</v>
          </cell>
          <cell r="I104">
            <v>0.16800000000000001</v>
          </cell>
        </row>
        <row r="105">
          <cell r="C105" t="str">
            <v>Concrete: C50 50% GGBS</v>
          </cell>
          <cell r="E105" t="str">
            <v>ICE Database</v>
          </cell>
          <cell r="G105">
            <v>0.124</v>
          </cell>
          <cell r="I105">
            <v>0.124</v>
          </cell>
        </row>
        <row r="106">
          <cell r="C106" t="str">
            <v>Concrete: C45/55 CEM1</v>
          </cell>
          <cell r="E106" t="str">
            <v>BS5400, BS8110-1, density 2320kg/m3</v>
          </cell>
          <cell r="G106">
            <v>0.16250000000000001</v>
          </cell>
          <cell r="I106">
            <v>0.16250000000000001</v>
          </cell>
        </row>
        <row r="107">
          <cell r="C107" t="str">
            <v>Concrete: C45/55 30% Fly Ash</v>
          </cell>
          <cell r="E107" t="str">
            <v>BS5400, BS8110-1, density 2320kg/m3</v>
          </cell>
          <cell r="G107">
            <v>0.12586206896551724</v>
          </cell>
          <cell r="I107">
            <v>0.12586206896551724</v>
          </cell>
        </row>
        <row r="108">
          <cell r="C108" t="str">
            <v>Concrete: C45/55 50% GGBS</v>
          </cell>
          <cell r="E108" t="str">
            <v>BS5400, BS8110-1, density 2320kg/m3</v>
          </cell>
          <cell r="G108">
            <v>8.8793103448275859E-2</v>
          </cell>
          <cell r="I108">
            <v>8.8793103448275859E-2</v>
          </cell>
        </row>
        <row r="109">
          <cell r="C109" t="str">
            <v>Concrete: C50/60 CEM1</v>
          </cell>
          <cell r="E109" t="str">
            <v>BS5400, BS8110-1, density 2320kg/m3</v>
          </cell>
          <cell r="G109">
            <v>0.18232758620689654</v>
          </cell>
          <cell r="I109">
            <v>0.18232758620689654</v>
          </cell>
        </row>
        <row r="110">
          <cell r="C110" t="str">
            <v>Concrete: C50/60 30% Fly Ash</v>
          </cell>
          <cell r="E110" t="str">
            <v>BS5400, BS8110-1, density 2320kg/m3</v>
          </cell>
          <cell r="G110">
            <v>0.18232758620689654</v>
          </cell>
          <cell r="I110">
            <v>0.18232758620689654</v>
          </cell>
        </row>
        <row r="111">
          <cell r="C111" t="str">
            <v>Concrete: C50/60 50% GGBS</v>
          </cell>
          <cell r="E111" t="str">
            <v>BS5400, BS8110-1, density 2320kg/m3</v>
          </cell>
          <cell r="G111">
            <v>0.18232758620689654</v>
          </cell>
          <cell r="I111">
            <v>0.18232758620689654</v>
          </cell>
        </row>
        <row r="112">
          <cell r="C112" t="str">
            <v>Concrete: C70 and above</v>
          </cell>
          <cell r="E112" t="str">
            <v>BS5400, BS8110-1, density 2320kg/m3</v>
          </cell>
          <cell r="G112">
            <v>0.12801724137931034</v>
          </cell>
          <cell r="I112">
            <v>0.12801724137931034</v>
          </cell>
        </row>
        <row r="113">
          <cell r="C113" t="str">
            <v>Precast Concrete</v>
          </cell>
          <cell r="E113" t="str">
            <v>ICE Database</v>
          </cell>
          <cell r="F113" t="str">
            <v>cradle to gate</v>
          </cell>
          <cell r="G113">
            <v>0.215</v>
          </cell>
          <cell r="I113">
            <v>0.215</v>
          </cell>
        </row>
        <row r="114">
          <cell r="I114">
            <v>0</v>
          </cell>
        </row>
        <row r="118">
          <cell r="I118" t="str">
            <v>CO2 (Kg/material Kgs)</v>
          </cell>
        </row>
        <row r="119">
          <cell r="E119" t="str">
            <v>Source ref.</v>
          </cell>
          <cell r="F119" t="str">
            <v>Boundaries</v>
          </cell>
          <cell r="G119" t="str">
            <v>Base</v>
          </cell>
          <cell r="H119" t="str">
            <v>Own</v>
          </cell>
          <cell r="I119" t="str">
            <v>Used</v>
          </cell>
        </row>
        <row r="120">
          <cell r="C120" t="str">
            <v>Steel: general</v>
          </cell>
          <cell r="E120">
            <v>1</v>
          </cell>
          <cell r="F120" t="str">
            <v>cradle to gate</v>
          </cell>
          <cell r="G120">
            <v>1.77</v>
          </cell>
          <cell r="I120">
            <v>1.77</v>
          </cell>
        </row>
        <row r="121">
          <cell r="C121" t="str">
            <v>Steel:  recycled</v>
          </cell>
          <cell r="E121">
            <v>1</v>
          </cell>
          <cell r="F121" t="str">
            <v>cradle to gate</v>
          </cell>
          <cell r="G121">
            <v>0.43</v>
          </cell>
          <cell r="I121">
            <v>0.43</v>
          </cell>
        </row>
        <row r="122">
          <cell r="C122" t="str">
            <v>Steel: virgin</v>
          </cell>
          <cell r="E122">
            <v>1</v>
          </cell>
          <cell r="F122" t="str">
            <v>cradle to gate</v>
          </cell>
          <cell r="G122">
            <v>2.75</v>
          </cell>
          <cell r="I122">
            <v>2.75</v>
          </cell>
        </row>
        <row r="123">
          <cell r="C123" t="str">
            <v>Steel: bar &amp; rod</v>
          </cell>
          <cell r="E123" t="str">
            <v>42.7% recylced</v>
          </cell>
          <cell r="F123" t="str">
            <v>cradle to gate</v>
          </cell>
          <cell r="G123">
            <v>1.71</v>
          </cell>
          <cell r="I123">
            <v>1.71</v>
          </cell>
        </row>
        <row r="124">
          <cell r="C124" t="str">
            <v>Steel: pipe</v>
          </cell>
          <cell r="E124">
            <v>1</v>
          </cell>
          <cell r="F124" t="str">
            <v>cradle to gate</v>
          </cell>
          <cell r="G124">
            <v>2.7</v>
          </cell>
          <cell r="I124">
            <v>2.7</v>
          </cell>
        </row>
        <row r="125">
          <cell r="C125" t="str">
            <v>Steel: section</v>
          </cell>
          <cell r="E125" t="str">
            <v>42.7% recycled</v>
          </cell>
          <cell r="F125" t="str">
            <v>cradle to gate</v>
          </cell>
          <cell r="G125">
            <v>1.78</v>
          </cell>
          <cell r="I125">
            <v>1.78</v>
          </cell>
        </row>
        <row r="126">
          <cell r="C126" t="str">
            <v>Steel: sheet</v>
          </cell>
          <cell r="E126">
            <v>1</v>
          </cell>
          <cell r="F126" t="str">
            <v>cradle to gate</v>
          </cell>
          <cell r="G126">
            <v>2.5099999999999998</v>
          </cell>
          <cell r="I126">
            <v>2.5099999999999998</v>
          </cell>
        </row>
        <row r="127">
          <cell r="C127" t="str">
            <v>Steel: galvanised sheet</v>
          </cell>
          <cell r="F127" t="str">
            <v>cradle to gate</v>
          </cell>
          <cell r="G127">
            <v>2.82</v>
          </cell>
          <cell r="I127">
            <v>2.82</v>
          </cell>
        </row>
        <row r="128">
          <cell r="C128" t="str">
            <v>Steel: wire</v>
          </cell>
          <cell r="E128">
            <v>1</v>
          </cell>
          <cell r="F128" t="str">
            <v>cradle to gate</v>
          </cell>
          <cell r="G128">
            <v>2.83</v>
          </cell>
          <cell r="I128">
            <v>2.83</v>
          </cell>
        </row>
        <row r="129">
          <cell r="C129" t="str">
            <v>Steel: stainless</v>
          </cell>
          <cell r="E129">
            <v>1</v>
          </cell>
          <cell r="F129" t="str">
            <v>cradle to gate</v>
          </cell>
          <cell r="G129">
            <v>6.15</v>
          </cell>
          <cell r="I129">
            <v>6.15</v>
          </cell>
        </row>
        <row r="130">
          <cell r="C130" t="str">
            <v>Steel: reinforcement</v>
          </cell>
          <cell r="E130" t="str">
            <v>&gt;80% recycled content, Arup notes on Structures</v>
          </cell>
          <cell r="F130" t="str">
            <v>cradle to gate</v>
          </cell>
          <cell r="G130">
            <v>0.872</v>
          </cell>
        </row>
        <row r="131">
          <cell r="I131">
            <v>0</v>
          </cell>
        </row>
        <row r="135">
          <cell r="I135" t="str">
            <v>CO2 (Kg/material Kgs)</v>
          </cell>
        </row>
        <row r="136">
          <cell r="E136" t="str">
            <v>Source ref.</v>
          </cell>
          <cell r="F136" t="str">
            <v>Boundaries</v>
          </cell>
          <cell r="G136" t="str">
            <v>Base</v>
          </cell>
          <cell r="H136" t="str">
            <v>Own</v>
          </cell>
          <cell r="I136" t="str">
            <v>Used</v>
          </cell>
        </row>
        <row r="137">
          <cell r="C137" t="str">
            <v>Timber: general</v>
          </cell>
          <cell r="E137">
            <v>1</v>
          </cell>
          <cell r="F137" t="str">
            <v>cradle to gate</v>
          </cell>
          <cell r="G137">
            <v>0.46</v>
          </cell>
          <cell r="I137">
            <v>0.46</v>
          </cell>
        </row>
        <row r="138">
          <cell r="C138" t="str">
            <v>Hardboard</v>
          </cell>
          <cell r="E138">
            <v>1</v>
          </cell>
          <cell r="F138" t="str">
            <v>cradle to gate</v>
          </cell>
          <cell r="G138">
            <v>0.86</v>
          </cell>
          <cell r="I138">
            <v>0.86</v>
          </cell>
        </row>
        <row r="139">
          <cell r="C139" t="str">
            <v>MDF</v>
          </cell>
          <cell r="E139">
            <v>1</v>
          </cell>
          <cell r="F139" t="str">
            <v>cradle to gate</v>
          </cell>
          <cell r="G139">
            <v>0.59</v>
          </cell>
          <cell r="I139">
            <v>0.59</v>
          </cell>
        </row>
        <row r="140">
          <cell r="C140" t="str">
            <v>Particle Board</v>
          </cell>
          <cell r="E140">
            <v>1</v>
          </cell>
          <cell r="F140" t="str">
            <v>cradle to gate</v>
          </cell>
          <cell r="G140">
            <v>0.51</v>
          </cell>
          <cell r="I140">
            <v>0.51</v>
          </cell>
        </row>
        <row r="141">
          <cell r="C141" t="str">
            <v>Plywood</v>
          </cell>
          <cell r="E141">
            <v>1</v>
          </cell>
          <cell r="F141" t="str">
            <v>cradle to gate</v>
          </cell>
          <cell r="G141">
            <v>0.81</v>
          </cell>
          <cell r="I141">
            <v>0.81</v>
          </cell>
        </row>
        <row r="142">
          <cell r="C142" t="str">
            <v>Sawn Hardwood</v>
          </cell>
          <cell r="E142">
            <v>1</v>
          </cell>
          <cell r="F142" t="str">
            <v>cradle to gate</v>
          </cell>
          <cell r="G142">
            <v>0.47</v>
          </cell>
          <cell r="I142">
            <v>0.47</v>
          </cell>
        </row>
        <row r="143">
          <cell r="C143" t="str">
            <v>Sawn Softwood</v>
          </cell>
          <cell r="E143">
            <v>1</v>
          </cell>
          <cell r="F143" t="str">
            <v>cradle to gate</v>
          </cell>
          <cell r="G143">
            <v>0.45</v>
          </cell>
          <cell r="I143">
            <v>0.45</v>
          </cell>
        </row>
        <row r="144">
          <cell r="C144" t="str">
            <v>Hardboard</v>
          </cell>
          <cell r="E144" t="str">
            <v>ICE Database</v>
          </cell>
          <cell r="F144" t="str">
            <v>cradle to gate</v>
          </cell>
          <cell r="G144">
            <v>0.86</v>
          </cell>
          <cell r="I144">
            <v>0.86</v>
          </cell>
        </row>
        <row r="145">
          <cell r="C145" t="str">
            <v>GluLam</v>
          </cell>
          <cell r="E145" t="str">
            <v>ICE Database</v>
          </cell>
          <cell r="F145" t="str">
            <v>cradle to gate</v>
          </cell>
          <cell r="G145">
            <v>0.65</v>
          </cell>
          <cell r="I145">
            <v>0.65</v>
          </cell>
        </row>
        <row r="146">
          <cell r="I146">
            <v>0</v>
          </cell>
        </row>
        <row r="150">
          <cell r="I150" t="str">
            <v>CO2 (Kg/material Kgs)</v>
          </cell>
        </row>
        <row r="151">
          <cell r="E151" t="str">
            <v>Source ref.</v>
          </cell>
          <cell r="F151" t="str">
            <v>Boundaries</v>
          </cell>
          <cell r="G151" t="str">
            <v>Base</v>
          </cell>
          <cell r="H151" t="str">
            <v>Own</v>
          </cell>
          <cell r="I151" t="str">
            <v>Used</v>
          </cell>
        </row>
        <row r="152">
          <cell r="C152" t="str">
            <v>Copper: general</v>
          </cell>
          <cell r="E152" t="str">
            <v>46% recycled</v>
          </cell>
          <cell r="F152" t="str">
            <v>cradle to gate</v>
          </cell>
          <cell r="G152">
            <v>3.01</v>
          </cell>
          <cell r="I152">
            <v>3.01</v>
          </cell>
        </row>
        <row r="153">
          <cell r="C153" t="str">
            <v>Copper: recycled from low grade scrap</v>
          </cell>
          <cell r="E153">
            <v>1</v>
          </cell>
          <cell r="F153" t="str">
            <v>cradle to grave</v>
          </cell>
          <cell r="G153">
            <v>2.75</v>
          </cell>
          <cell r="I153">
            <v>2.75</v>
          </cell>
        </row>
        <row r="154">
          <cell r="C154" t="str">
            <v>Copper: recycled from high grade scrap</v>
          </cell>
          <cell r="E154">
            <v>1</v>
          </cell>
          <cell r="F154" t="str">
            <v>cradle to grave</v>
          </cell>
          <cell r="G154">
            <v>0.96</v>
          </cell>
          <cell r="I154">
            <v>0.96</v>
          </cell>
        </row>
        <row r="155">
          <cell r="C155" t="str">
            <v>Copper: virgin</v>
          </cell>
          <cell r="E155">
            <v>1</v>
          </cell>
          <cell r="F155" t="str">
            <v>cradle to gate</v>
          </cell>
          <cell r="G155">
            <v>3.83</v>
          </cell>
          <cell r="I155">
            <v>3.83</v>
          </cell>
        </row>
        <row r="156">
          <cell r="C156" t="str">
            <v>Aluminium: general</v>
          </cell>
          <cell r="E156" t="str">
            <v>world basis, 33% recycled, 25.6% extrusions, 55.7% rolled &amp; 18.7% casting</v>
          </cell>
          <cell r="F156" t="str">
            <v>cradle to gate</v>
          </cell>
          <cell r="G156">
            <v>8.24</v>
          </cell>
          <cell r="I156">
            <v>8.24</v>
          </cell>
        </row>
        <row r="157">
          <cell r="C157" t="str">
            <v>Aluminum: recycled</v>
          </cell>
          <cell r="E157" t="str">
            <v>ICE Database</v>
          </cell>
          <cell r="F157" t="str">
            <v>cradle to gate</v>
          </cell>
          <cell r="G157">
            <v>1.69</v>
          </cell>
          <cell r="I157">
            <v>1.69</v>
          </cell>
        </row>
        <row r="158">
          <cell r="C158" t="str">
            <v>Aluminium: virgin</v>
          </cell>
          <cell r="E158" t="str">
            <v>ICE Database</v>
          </cell>
          <cell r="F158" t="str">
            <v>cradle to gate</v>
          </cell>
          <cell r="G158">
            <v>11.46</v>
          </cell>
          <cell r="I158">
            <v>11.46</v>
          </cell>
        </row>
        <row r="159">
          <cell r="C159" t="str">
            <v>Aluminium: extruded</v>
          </cell>
          <cell r="E159" t="str">
            <v>33% recycled</v>
          </cell>
          <cell r="F159" t="str">
            <v>cradle to gate</v>
          </cell>
          <cell r="G159">
            <v>8.16</v>
          </cell>
          <cell r="I159">
            <v>8.16</v>
          </cell>
        </row>
        <row r="160">
          <cell r="C160" t="str">
            <v>Aluminium: rolled</v>
          </cell>
          <cell r="E160" t="str">
            <v>33% recycled</v>
          </cell>
          <cell r="F160" t="str">
            <v>cradle to gate</v>
          </cell>
          <cell r="G160">
            <v>8.26</v>
          </cell>
          <cell r="I160">
            <v>8.26</v>
          </cell>
        </row>
        <row r="161">
          <cell r="C161" t="str">
            <v>Aluminium: cast</v>
          </cell>
          <cell r="E161" t="str">
            <v>33% recycled</v>
          </cell>
          <cell r="F161" t="str">
            <v>cradle to gate</v>
          </cell>
          <cell r="G161">
            <v>8.2799999999999994</v>
          </cell>
          <cell r="I161">
            <v>8.2799999999999994</v>
          </cell>
        </row>
        <row r="162">
          <cell r="I162">
            <v>0</v>
          </cell>
        </row>
        <row r="166">
          <cell r="I166" t="str">
            <v>CO2 (Kg/material Kgs)</v>
          </cell>
        </row>
        <row r="167">
          <cell r="E167" t="str">
            <v>Source ref.</v>
          </cell>
          <cell r="F167" t="str">
            <v>Boundaries</v>
          </cell>
          <cell r="G167" t="str">
            <v>Base</v>
          </cell>
          <cell r="H167" t="str">
            <v>Own</v>
          </cell>
          <cell r="I167" t="str">
            <v>Used</v>
          </cell>
        </row>
        <row r="168">
          <cell r="C168" t="str">
            <v>Bricks</v>
          </cell>
          <cell r="E168" t="str">
            <v>ICE Database</v>
          </cell>
          <cell r="F168" t="str">
            <v>cradle to site</v>
          </cell>
          <cell r="G168">
            <v>0.22140000000000001</v>
          </cell>
          <cell r="I168">
            <v>0.22140000000000001</v>
          </cell>
        </row>
        <row r="169">
          <cell r="C169" t="str">
            <v>Engineering Bricks</v>
          </cell>
          <cell r="E169">
            <v>1</v>
          </cell>
          <cell r="F169" t="str">
            <v>cradle to site</v>
          </cell>
          <cell r="G169">
            <v>0</v>
          </cell>
          <cell r="H169">
            <v>0.85</v>
          </cell>
          <cell r="I169">
            <v>0.85</v>
          </cell>
        </row>
        <row r="170">
          <cell r="C170" t="str">
            <v>Facing Bricks</v>
          </cell>
          <cell r="E170" t="str">
            <v>ICE Database</v>
          </cell>
          <cell r="F170" t="str">
            <v>cradle to site</v>
          </cell>
          <cell r="G170">
            <v>0.52139999999999997</v>
          </cell>
          <cell r="I170">
            <v>0.52139999999999997</v>
          </cell>
        </row>
        <row r="171">
          <cell r="C171" t="str">
            <v>Blockwork: 8MPa</v>
          </cell>
          <cell r="E171" t="str">
            <v>ICE Database</v>
          </cell>
          <cell r="F171" t="str">
            <v>cradle to site</v>
          </cell>
          <cell r="G171">
            <v>6.0999999999999999E-2</v>
          </cell>
          <cell r="H171">
            <v>0.2</v>
          </cell>
          <cell r="I171">
            <v>0.2</v>
          </cell>
        </row>
        <row r="172">
          <cell r="C172" t="str">
            <v>Blockwork: 10MPa</v>
          </cell>
          <cell r="E172" t="str">
            <v>ICE Database</v>
          </cell>
          <cell r="F172" t="str">
            <v>cradle to site</v>
          </cell>
          <cell r="G172">
            <v>7.3999999999999996E-2</v>
          </cell>
          <cell r="H172">
            <v>0.2</v>
          </cell>
          <cell r="I172">
            <v>0.2</v>
          </cell>
        </row>
        <row r="173">
          <cell r="C173" t="str">
            <v>Blockwork: 12MPa</v>
          </cell>
          <cell r="E173" t="str">
            <v>ICE Database</v>
          </cell>
          <cell r="F173" t="str">
            <v>cradle to site</v>
          </cell>
          <cell r="G173">
            <v>0.08</v>
          </cell>
          <cell r="H173">
            <v>0.2</v>
          </cell>
          <cell r="I173">
            <v>0.2</v>
          </cell>
        </row>
        <row r="174">
          <cell r="C174" t="str">
            <v>Blockwork: 13MPa</v>
          </cell>
          <cell r="E174" t="str">
            <v>ICE Database</v>
          </cell>
          <cell r="F174" t="str">
            <v>cradle to site</v>
          </cell>
          <cell r="G174">
            <v>9.8000000000000004E-2</v>
          </cell>
          <cell r="H174">
            <v>0.2</v>
          </cell>
          <cell r="I174">
            <v>0.2</v>
          </cell>
        </row>
        <row r="175">
          <cell r="C175" t="str">
            <v>Autoclaved Aerated Blocks</v>
          </cell>
          <cell r="E175" t="str">
            <v>ICE Database</v>
          </cell>
          <cell r="F175" t="str">
            <v>cradle to site</v>
          </cell>
          <cell r="G175">
            <v>0.32750000000000001</v>
          </cell>
          <cell r="I175">
            <v>0.32750000000000001</v>
          </cell>
        </row>
        <row r="176">
          <cell r="I176">
            <v>0</v>
          </cell>
        </row>
        <row r="180">
          <cell r="I180" t="str">
            <v>CO2 (Kg/material Kgs)</v>
          </cell>
        </row>
        <row r="181">
          <cell r="E181" t="str">
            <v>Source ref.</v>
          </cell>
          <cell r="F181" t="str">
            <v>Boundaries</v>
          </cell>
          <cell r="G181" t="str">
            <v>Base</v>
          </cell>
          <cell r="H181" t="str">
            <v>Own</v>
          </cell>
          <cell r="I181" t="str">
            <v>Used</v>
          </cell>
        </row>
        <row r="182">
          <cell r="C182" t="str">
            <v>Mortar (1:3)</v>
          </cell>
          <cell r="E182" t="str">
            <v>1:3 cement:sand</v>
          </cell>
          <cell r="F182" t="str">
            <v>cradle to gate</v>
          </cell>
          <cell r="G182">
            <v>0.21299999999999999</v>
          </cell>
          <cell r="I182">
            <v>0.21299999999999999</v>
          </cell>
        </row>
        <row r="183">
          <cell r="C183" t="str">
            <v>Mortar (1:4)</v>
          </cell>
          <cell r="E183" t="str">
            <v>1 &amp; 2</v>
          </cell>
          <cell r="F183" t="str">
            <v>cradle to gate</v>
          </cell>
          <cell r="G183">
            <v>0.17699999999999999</v>
          </cell>
          <cell r="I183">
            <v>0.17699999999999999</v>
          </cell>
        </row>
        <row r="184">
          <cell r="C184" t="str">
            <v>Mortar (1:6)</v>
          </cell>
          <cell r="E184" t="str">
            <v>1 &amp; 2</v>
          </cell>
          <cell r="F184" t="str">
            <v>cradle to gate</v>
          </cell>
          <cell r="G184">
            <v>0.13600000000000001</v>
          </cell>
          <cell r="I184">
            <v>0.13600000000000001</v>
          </cell>
        </row>
        <row r="185">
          <cell r="C185" t="str">
            <v>Mortar (1:½:4½ Cement:Lime:Sand mix)</v>
          </cell>
          <cell r="E185" t="str">
            <v>1 &amp; 2</v>
          </cell>
          <cell r="F185" t="str">
            <v>cradle to gate</v>
          </cell>
          <cell r="G185">
            <v>0.19600000000000001</v>
          </cell>
          <cell r="I185">
            <v>0.19600000000000001</v>
          </cell>
        </row>
        <row r="186">
          <cell r="C186" t="str">
            <v>Mortar (1:1:6 Cement:Lime:Sand mix)</v>
          </cell>
          <cell r="E186" t="str">
            <v>1 &amp; 2</v>
          </cell>
          <cell r="F186" t="str">
            <v>cradle to gate</v>
          </cell>
          <cell r="G186">
            <v>0.16300000000000001</v>
          </cell>
          <cell r="I186">
            <v>0.16300000000000001</v>
          </cell>
        </row>
        <row r="187">
          <cell r="C187" t="str">
            <v>Mortar (1:2:9 Cement:Lime:Sand mix)</v>
          </cell>
          <cell r="E187" t="str">
            <v>1 &amp; 2</v>
          </cell>
          <cell r="F187" t="str">
            <v>cradle to gate</v>
          </cell>
          <cell r="G187">
            <v>0.14299999999999999</v>
          </cell>
          <cell r="I187">
            <v>0.14299999999999999</v>
          </cell>
        </row>
        <row r="188">
          <cell r="I188">
            <v>0</v>
          </cell>
        </row>
        <row r="192">
          <cell r="I192" t="str">
            <v>CO2 (Kg/material Kgs)</v>
          </cell>
        </row>
        <row r="193">
          <cell r="E193" t="str">
            <v>Source ref.</v>
          </cell>
          <cell r="F193" t="str">
            <v>Boundaries</v>
          </cell>
          <cell r="G193" t="str">
            <v>Base</v>
          </cell>
          <cell r="H193" t="str">
            <v>Own</v>
          </cell>
          <cell r="I193" t="str">
            <v>Used</v>
          </cell>
        </row>
        <row r="194">
          <cell r="C194" t="str">
            <v>Standard asphalt</v>
          </cell>
          <cell r="E194">
            <v>1</v>
          </cell>
          <cell r="F194" t="str">
            <v>cradle to gate</v>
          </cell>
          <cell r="G194">
            <v>4.4999999999999998E-2</v>
          </cell>
          <cell r="I194">
            <v>4.4999999999999998E-2</v>
          </cell>
        </row>
        <row r="195">
          <cell r="C195" t="str">
            <v>Road &amp; Pavement Asphalt</v>
          </cell>
          <cell r="E195">
            <v>1</v>
          </cell>
          <cell r="F195" t="str">
            <v>40-year life</v>
          </cell>
          <cell r="G195">
            <v>0.14000000000000001</v>
          </cell>
          <cell r="I195">
            <v>0.14000000000000001</v>
          </cell>
        </row>
        <row r="196">
          <cell r="C196" t="str">
            <v>Road &amp; Pavement Concrete</v>
          </cell>
          <cell r="E196">
            <v>1</v>
          </cell>
          <cell r="F196" t="str">
            <v>cradle to gate</v>
          </cell>
          <cell r="G196">
            <v>0.127</v>
          </cell>
          <cell r="I196">
            <v>0.127</v>
          </cell>
        </row>
        <row r="197">
          <cell r="C197" t="str">
            <v>Bitumen</v>
          </cell>
          <cell r="E197" t="str">
            <v>ICE Database</v>
          </cell>
          <cell r="F197" t="str">
            <v>cradle to gate</v>
          </cell>
          <cell r="G197">
            <v>0.48</v>
          </cell>
          <cell r="I197">
            <v>0.48</v>
          </cell>
        </row>
        <row r="198">
          <cell r="I198">
            <v>0</v>
          </cell>
        </row>
        <row r="202">
          <cell r="I202" t="str">
            <v>CO2 (Kg/material Kgs)</v>
          </cell>
        </row>
        <row r="203">
          <cell r="E203" t="str">
            <v>Source ref.</v>
          </cell>
          <cell r="F203" t="str">
            <v>Boundaries</v>
          </cell>
          <cell r="G203" t="str">
            <v>Base</v>
          </cell>
          <cell r="H203" t="str">
            <v>Own</v>
          </cell>
          <cell r="I203" t="str">
            <v>Used</v>
          </cell>
        </row>
        <row r="204">
          <cell r="C204" t="str">
            <v>Vitrified clay pipe DN 100 &amp; DN 150</v>
          </cell>
          <cell r="E204">
            <v>1</v>
          </cell>
          <cell r="F204" t="str">
            <v>cradle to gate</v>
          </cell>
          <cell r="G204">
            <v>0.41</v>
          </cell>
          <cell r="I204">
            <v>0.41</v>
          </cell>
        </row>
        <row r="205">
          <cell r="C205" t="str">
            <v>Vitrified clay pipe DN 200 &amp; DN 300</v>
          </cell>
          <cell r="E205">
            <v>1</v>
          </cell>
          <cell r="F205" t="str">
            <v>cradle to gate</v>
          </cell>
          <cell r="G205">
            <v>0.49</v>
          </cell>
          <cell r="I205">
            <v>0.49</v>
          </cell>
        </row>
        <row r="206">
          <cell r="C206" t="str">
            <v>Vitrified clay pipe DN 500</v>
          </cell>
          <cell r="E206">
            <v>1</v>
          </cell>
          <cell r="F206" t="str">
            <v>cradle to gate</v>
          </cell>
          <cell r="G206">
            <v>0.53</v>
          </cell>
          <cell r="I206">
            <v>0.53</v>
          </cell>
        </row>
        <row r="207">
          <cell r="C207" t="str">
            <v>General ceramics</v>
          </cell>
          <cell r="E207">
            <v>1</v>
          </cell>
          <cell r="F207" t="str">
            <v>cradle to gate</v>
          </cell>
          <cell r="G207">
            <v>0.65</v>
          </cell>
          <cell r="I207">
            <v>0.65</v>
          </cell>
        </row>
        <row r="208">
          <cell r="C208" t="str">
            <v>PVC Pipe</v>
          </cell>
          <cell r="E208">
            <v>1</v>
          </cell>
          <cell r="F208" t="str">
            <v>cradle to gate</v>
          </cell>
          <cell r="G208">
            <v>2.5</v>
          </cell>
          <cell r="I208">
            <v>2.5</v>
          </cell>
        </row>
        <row r="209">
          <cell r="C209" t="str">
            <v>HDPE Pipe</v>
          </cell>
          <cell r="E209">
            <v>1</v>
          </cell>
          <cell r="F209" t="str">
            <v>cradle to gate</v>
          </cell>
          <cell r="G209">
            <v>2</v>
          </cell>
          <cell r="I209">
            <v>2</v>
          </cell>
        </row>
        <row r="210">
          <cell r="C210" t="str">
            <v>Precast Concrete</v>
          </cell>
          <cell r="E210" t="str">
            <v>ICE Database</v>
          </cell>
          <cell r="F210" t="str">
            <v>cradle to gate</v>
          </cell>
          <cell r="G210">
            <v>0.215</v>
          </cell>
          <cell r="I210">
            <v>0.215</v>
          </cell>
        </row>
        <row r="211">
          <cell r="I211">
            <v>0</v>
          </cell>
        </row>
        <row r="215">
          <cell r="I215" t="str">
            <v>CO2 (Kg/material Kgs)</v>
          </cell>
        </row>
        <row r="216">
          <cell r="E216" t="str">
            <v>Source ref.</v>
          </cell>
          <cell r="F216" t="str">
            <v>Boundaries</v>
          </cell>
          <cell r="G216" t="str">
            <v>Base</v>
          </cell>
          <cell r="H216" t="str">
            <v>Own</v>
          </cell>
          <cell r="I216" t="str">
            <v>Used</v>
          </cell>
        </row>
        <row r="217">
          <cell r="C217" t="str">
            <v>Synthetic rubber</v>
          </cell>
          <cell r="E217">
            <v>1</v>
          </cell>
          <cell r="F217" t="str">
            <v>cradle to gate</v>
          </cell>
          <cell r="G217">
            <v>4.0199999999999996</v>
          </cell>
          <cell r="I217">
            <v>4.0199999999999996</v>
          </cell>
        </row>
        <row r="218">
          <cell r="C218" t="str">
            <v>Plastic: General</v>
          </cell>
          <cell r="E218" t="str">
            <v>ICE Database</v>
          </cell>
          <cell r="F218" t="str">
            <v>cradle to gate</v>
          </cell>
          <cell r="G218">
            <v>2.5299999999999998</v>
          </cell>
          <cell r="I218">
            <v>2.5299999999999998</v>
          </cell>
        </row>
        <row r="219">
          <cell r="C219" t="str">
            <v>ABS</v>
          </cell>
          <cell r="E219" t="str">
            <v>ICE Database</v>
          </cell>
          <cell r="F219" t="str">
            <v>cradle to gate</v>
          </cell>
          <cell r="G219">
            <v>3.1</v>
          </cell>
          <cell r="I219">
            <v>3.1</v>
          </cell>
        </row>
        <row r="220">
          <cell r="C220" t="str">
            <v>Polyethylene: General</v>
          </cell>
          <cell r="E220">
            <v>1</v>
          </cell>
          <cell r="F220" t="str">
            <v>cradle to gate</v>
          </cell>
          <cell r="G220">
            <v>1.94</v>
          </cell>
          <cell r="I220">
            <v>1.94</v>
          </cell>
        </row>
        <row r="221">
          <cell r="C221" t="str">
            <v>Polyethylene: High Density (HDPE)</v>
          </cell>
          <cell r="E221">
            <v>1</v>
          </cell>
          <cell r="F221" t="str">
            <v>cradle to gate</v>
          </cell>
          <cell r="G221">
            <v>1.6</v>
          </cell>
          <cell r="I221">
            <v>1.6</v>
          </cell>
        </row>
        <row r="222">
          <cell r="C222" t="str">
            <v>Polyethylene: Low Density (LDPE)</v>
          </cell>
          <cell r="E222" t="str">
            <v>ICE Database</v>
          </cell>
          <cell r="F222" t="str">
            <v>cradle to gate</v>
          </cell>
          <cell r="G222">
            <v>1.7</v>
          </cell>
          <cell r="I222">
            <v>1.7</v>
          </cell>
        </row>
        <row r="223">
          <cell r="C223" t="str">
            <v>Polystyrene: Expanded</v>
          </cell>
          <cell r="E223">
            <v>1</v>
          </cell>
          <cell r="F223" t="str">
            <v>cradle to gate</v>
          </cell>
          <cell r="G223">
            <v>2.5</v>
          </cell>
          <cell r="I223">
            <v>2.5</v>
          </cell>
        </row>
        <row r="224">
          <cell r="C224" t="str">
            <v>Polystyrene: High Impact</v>
          </cell>
          <cell r="E224" t="str">
            <v>ICE Database</v>
          </cell>
          <cell r="F224" t="str">
            <v>cradle to gate</v>
          </cell>
          <cell r="G224">
            <v>2.8</v>
          </cell>
          <cell r="I224">
            <v>2.8</v>
          </cell>
        </row>
        <row r="225">
          <cell r="C225" t="str">
            <v>Damp Proof Course/Membrane</v>
          </cell>
          <cell r="E225">
            <v>1</v>
          </cell>
          <cell r="F225" t="str">
            <v>cradle to gate</v>
          </cell>
          <cell r="G225">
            <v>4.2</v>
          </cell>
          <cell r="I225">
            <v>4.2</v>
          </cell>
        </row>
        <row r="226">
          <cell r="C226" t="str">
            <v>PVC: General</v>
          </cell>
          <cell r="E226">
            <v>1</v>
          </cell>
          <cell r="F226" t="str">
            <v>cradle to gate</v>
          </cell>
          <cell r="G226">
            <v>2.41</v>
          </cell>
          <cell r="I226">
            <v>2.41</v>
          </cell>
        </row>
        <row r="227">
          <cell r="C227" t="str">
            <v>PVC: Injection Moulding</v>
          </cell>
          <cell r="E227" t="str">
            <v>ICE Database</v>
          </cell>
          <cell r="F227" t="str">
            <v>cradle to gate</v>
          </cell>
          <cell r="G227">
            <v>2.2000000000000002</v>
          </cell>
          <cell r="I227">
            <v>2.2000000000000002</v>
          </cell>
        </row>
        <row r="228">
          <cell r="C228" t="str">
            <v>Polycarbonate</v>
          </cell>
          <cell r="E228" t="str">
            <v>ICE Database</v>
          </cell>
          <cell r="F228" t="str">
            <v>cradle to gate</v>
          </cell>
          <cell r="G228">
            <v>6</v>
          </cell>
          <cell r="I228">
            <v>6</v>
          </cell>
        </row>
        <row r="229">
          <cell r="C229" t="str">
            <v>Polypropylene: Oriented Film</v>
          </cell>
          <cell r="E229" t="str">
            <v>ICE Database</v>
          </cell>
          <cell r="F229" t="str">
            <v>cradle to gate</v>
          </cell>
          <cell r="G229">
            <v>2.7</v>
          </cell>
          <cell r="I229">
            <v>2.7</v>
          </cell>
        </row>
        <row r="230">
          <cell r="C230" t="str">
            <v>Polypropylene: Injection Moulded</v>
          </cell>
          <cell r="E230" t="str">
            <v>ICE Database</v>
          </cell>
          <cell r="F230" t="str">
            <v>cradle to gate</v>
          </cell>
          <cell r="G230">
            <v>3.9</v>
          </cell>
          <cell r="I230">
            <v>3.9</v>
          </cell>
        </row>
        <row r="231">
          <cell r="C231" t="str">
            <v>Terram 2000 (70% polypropylene &amp; 30% polyethylene)</v>
          </cell>
          <cell r="E231" t="str">
            <v>Oriented film</v>
          </cell>
          <cell r="F231" t="str">
            <v>cradle to gate</v>
          </cell>
          <cell r="G231">
            <v>2.472</v>
          </cell>
          <cell r="H231">
            <v>3.3119999999999998</v>
          </cell>
          <cell r="I231">
            <v>3.3119999999999998</v>
          </cell>
        </row>
        <row r="232">
          <cell r="C232" t="str">
            <v>Natural rubber</v>
          </cell>
          <cell r="E232">
            <v>1</v>
          </cell>
          <cell r="F232" t="str">
            <v>cradle to gate</v>
          </cell>
          <cell r="G232">
            <v>1.63</v>
          </cell>
          <cell r="I232">
            <v>1.63</v>
          </cell>
        </row>
        <row r="233">
          <cell r="C233" t="str">
            <v>Glass: General</v>
          </cell>
          <cell r="E233" t="str">
            <v>ICE Database</v>
          </cell>
          <cell r="F233" t="str">
            <v>cradle to gate</v>
          </cell>
          <cell r="G233">
            <v>0.85</v>
          </cell>
          <cell r="I233">
            <v>0.85</v>
          </cell>
        </row>
        <row r="234">
          <cell r="C234" t="str">
            <v>Glass: Toughened</v>
          </cell>
          <cell r="E234" t="str">
            <v>ICE Database</v>
          </cell>
          <cell r="F234" t="str">
            <v>cradle to gate</v>
          </cell>
          <cell r="G234">
            <v>1.27</v>
          </cell>
          <cell r="I234">
            <v>1.27</v>
          </cell>
        </row>
        <row r="235">
          <cell r="C235" t="str">
            <v>Glass Reinforced Plastic (GFRP)</v>
          </cell>
          <cell r="E235" t="str">
            <v>ICE Database</v>
          </cell>
          <cell r="F235" t="str">
            <v>cradle to gate</v>
          </cell>
          <cell r="G235">
            <v>8.1</v>
          </cell>
          <cell r="I235">
            <v>8.1</v>
          </cell>
        </row>
        <row r="236">
          <cell r="I236">
            <v>0</v>
          </cell>
        </row>
        <row r="240">
          <cell r="I240" t="str">
            <v>CO2 (Kg/material Kgs)</v>
          </cell>
        </row>
        <row r="241">
          <cell r="E241" t="str">
            <v>Source ref.</v>
          </cell>
          <cell r="F241" t="str">
            <v>Boundaries</v>
          </cell>
          <cell r="G241" t="str">
            <v>Base</v>
          </cell>
          <cell r="H241" t="str">
            <v>Own</v>
          </cell>
          <cell r="I241" t="str">
            <v>Used</v>
          </cell>
        </row>
        <row r="242">
          <cell r="C242" t="str">
            <v>Diesel</v>
          </cell>
          <cell r="E242" t="str">
            <v xml:space="preserve"> Table 1 DEFRA 2009</v>
          </cell>
          <cell r="F242" t="str">
            <v>Combustion only</v>
          </cell>
          <cell r="G242">
            <v>3.1640000000000001</v>
          </cell>
          <cell r="I242">
            <v>3.1640000000000001</v>
          </cell>
        </row>
        <row r="243">
          <cell r="C243" t="str">
            <v>Biodiesel</v>
          </cell>
          <cell r="E243" t="str">
            <v>EA Carbon Calculator_2_1883909</v>
          </cell>
          <cell r="F243" t="str">
            <v>Combustion only</v>
          </cell>
          <cell r="G243">
            <v>0.91600000000000004</v>
          </cell>
          <cell r="I243">
            <v>0.91600000000000004</v>
          </cell>
        </row>
        <row r="244">
          <cell r="C244" t="str">
            <v>Coal</v>
          </cell>
          <cell r="E244" t="str">
            <v>Industrial Coal, Table 1 DEFRA 2009</v>
          </cell>
          <cell r="F244" t="str">
            <v>Combustion only</v>
          </cell>
          <cell r="G244">
            <v>2.4569999999999999</v>
          </cell>
          <cell r="I244">
            <v>2.4569999999999999</v>
          </cell>
        </row>
        <row r="245">
          <cell r="C245" t="str">
            <v>Electricity</v>
          </cell>
          <cell r="E245">
            <v>3</v>
          </cell>
          <cell r="F245" t="str">
            <v>Combustion only</v>
          </cell>
          <cell r="G245">
            <v>4.2999999999999999E-4</v>
          </cell>
          <cell r="I245">
            <v>4.2999999999999999E-4</v>
          </cell>
        </row>
        <row r="246">
          <cell r="I246">
            <v>0</v>
          </cell>
        </row>
        <row r="250">
          <cell r="I250" t="str">
            <v>CO2 (Kg/material Kgs)</v>
          </cell>
        </row>
        <row r="251">
          <cell r="E251" t="str">
            <v>Source ref.</v>
          </cell>
          <cell r="F251" t="str">
            <v>Boundaries</v>
          </cell>
          <cell r="G251" t="str">
            <v>Base</v>
          </cell>
          <cell r="H251" t="str">
            <v>Own</v>
          </cell>
          <cell r="I251" t="str">
            <v>Used</v>
          </cell>
        </row>
        <row r="252">
          <cell r="C252" t="str">
            <v>Grass seeding</v>
          </cell>
          <cell r="E252" t="str">
            <v>Gabi</v>
          </cell>
          <cell r="F252" t="str">
            <v>Cradle to farm</v>
          </cell>
          <cell r="G252">
            <v>1.0002</v>
          </cell>
          <cell r="I252">
            <v>1.0002</v>
          </cell>
        </row>
        <row r="253">
          <cell r="I253">
            <v>0</v>
          </cell>
        </row>
        <row r="254">
          <cell r="I254">
            <v>0</v>
          </cell>
        </row>
        <row r="255">
          <cell r="I255">
            <v>0</v>
          </cell>
        </row>
        <row r="259">
          <cell r="I259" t="str">
            <v>CO2 (Kg/kg.km carried)</v>
          </cell>
        </row>
        <row r="260">
          <cell r="E260" t="str">
            <v>Source ref.</v>
          </cell>
          <cell r="F260" t="str">
            <v>Boundaries</v>
          </cell>
          <cell r="G260" t="str">
            <v>Base</v>
          </cell>
          <cell r="H260" t="str">
            <v>Own</v>
          </cell>
          <cell r="I260" t="str">
            <v>Used</v>
          </cell>
        </row>
        <row r="261">
          <cell r="C261" t="str">
            <v>Road</v>
          </cell>
          <cell r="E261" t="str">
            <v>Table 13b, DEFRA 2008</v>
          </cell>
          <cell r="F261" t="str">
            <v>Combustion Only</v>
          </cell>
          <cell r="G261">
            <v>1.3200000000000001E-4</v>
          </cell>
          <cell r="I261">
            <v>1.3200000000000001E-4</v>
          </cell>
        </row>
        <row r="262">
          <cell r="C262" t="str">
            <v>Rail</v>
          </cell>
          <cell r="E262" t="str">
            <v>Table 14, DEFRA 2008</v>
          </cell>
          <cell r="F262" t="str">
            <v>Combustion Only</v>
          </cell>
          <cell r="G262">
            <v>2.0999999999999999E-5</v>
          </cell>
          <cell r="I262">
            <v>2.0999999999999999E-5</v>
          </cell>
        </row>
        <row r="263">
          <cell r="C263" t="str">
            <v>Water</v>
          </cell>
          <cell r="E263" t="str">
            <v>Table 14, DEFRA 2008</v>
          </cell>
          <cell r="F263" t="str">
            <v>Combustion Only</v>
          </cell>
          <cell r="G263">
            <v>1.1E-5</v>
          </cell>
          <cell r="I263">
            <v>1.1E-5</v>
          </cell>
        </row>
        <row r="264">
          <cell r="C264" t="str">
            <v>Van/Light Commercial Vehicle: average</v>
          </cell>
          <cell r="E264" t="str">
            <v>Table 12b, DEFRA 2008</v>
          </cell>
          <cell r="F264" t="str">
            <v>Combustion Only</v>
          </cell>
          <cell r="G264">
            <v>2.8299999999999999E-4</v>
          </cell>
          <cell r="I264">
            <v>2.8299999999999999E-4</v>
          </cell>
        </row>
        <row r="265">
          <cell r="C265" t="str">
            <v>Van/Light Commercial Vehicle: petrol</v>
          </cell>
          <cell r="E265" t="str">
            <v>Table 12b, DEFRA 2008</v>
          </cell>
          <cell r="F265" t="str">
            <v>Combustion Only</v>
          </cell>
          <cell r="G265">
            <v>4.4900000000000002E-4</v>
          </cell>
          <cell r="I265">
            <v>4.4900000000000002E-4</v>
          </cell>
        </row>
        <row r="266">
          <cell r="C266" t="str">
            <v>Van/Light Commercial Vehicle: diesel</v>
          </cell>
          <cell r="E266" t="str">
            <v>Table 12b, DEFRA 2008</v>
          </cell>
          <cell r="F266" t="str">
            <v>Combustion Only</v>
          </cell>
          <cell r="G266">
            <v>2.72E-4</v>
          </cell>
          <cell r="I266">
            <v>2.72E-4</v>
          </cell>
        </row>
        <row r="267">
          <cell r="I267">
            <v>0</v>
          </cell>
        </row>
        <row r="271">
          <cell r="I271" t="str">
            <v>CO2 (Kg/km)</v>
          </cell>
        </row>
        <row r="272">
          <cell r="C272" t="str">
            <v>Mode</v>
          </cell>
          <cell r="E272" t="str">
            <v>Source ref.</v>
          </cell>
          <cell r="F272" t="str">
            <v>Boundaries</v>
          </cell>
          <cell r="G272" t="str">
            <v>Base</v>
          </cell>
          <cell r="H272" t="str">
            <v>Own</v>
          </cell>
          <cell r="I272" t="str">
            <v>Used</v>
          </cell>
        </row>
        <row r="273">
          <cell r="C273" t="str">
            <v>Hybrid electric: medium</v>
          </cell>
          <cell r="E273">
            <v>7</v>
          </cell>
          <cell r="F273" t="str">
            <v>Combustion Only</v>
          </cell>
          <cell r="G273">
            <v>0.12620000000000001</v>
          </cell>
          <cell r="I273">
            <v>0.12620000000000001</v>
          </cell>
        </row>
        <row r="274">
          <cell r="C274" t="str">
            <v>Hybrid electric: large</v>
          </cell>
          <cell r="F274" t="str">
            <v>Combustion Only</v>
          </cell>
          <cell r="G274">
            <v>0.224</v>
          </cell>
          <cell r="I274">
            <v>0.224</v>
          </cell>
        </row>
        <row r="275">
          <cell r="C275" t="str">
            <v>Supermini: petrol</v>
          </cell>
          <cell r="E275" t="str">
            <v>Table 7a, DEFRA 2008</v>
          </cell>
          <cell r="F275" t="str">
            <v>Combustion Only</v>
          </cell>
          <cell r="G275">
            <v>0.17660000000000001</v>
          </cell>
          <cell r="I275">
            <v>0.17660000000000001</v>
          </cell>
        </row>
        <row r="276">
          <cell r="C276" t="str">
            <v>Supermini: diesel</v>
          </cell>
          <cell r="E276" t="str">
            <v>Table 7b, DEFRA 2008</v>
          </cell>
          <cell r="F276" t="str">
            <v>Combustion Only</v>
          </cell>
          <cell r="G276">
            <v>0.1477</v>
          </cell>
          <cell r="I276">
            <v>0.1477</v>
          </cell>
        </row>
        <row r="277">
          <cell r="C277" t="str">
            <v>Saloon: petrol</v>
          </cell>
          <cell r="E277" t="str">
            <v>Table 7a, DEFRA 2008</v>
          </cell>
          <cell r="F277" t="str">
            <v>Combustion Only</v>
          </cell>
          <cell r="G277">
            <v>0.2185</v>
          </cell>
          <cell r="I277">
            <v>0.2185</v>
          </cell>
        </row>
        <row r="278">
          <cell r="C278" t="str">
            <v>Saloon: diesel</v>
          </cell>
          <cell r="E278" t="str">
            <v>Table 7b, DEFRA 2008</v>
          </cell>
          <cell r="F278" t="str">
            <v>Combustion Only</v>
          </cell>
          <cell r="G278">
            <v>0.19220000000000001</v>
          </cell>
          <cell r="I278">
            <v>0.19220000000000001</v>
          </cell>
        </row>
        <row r="279">
          <cell r="C279" t="str">
            <v>MPV: petrol</v>
          </cell>
          <cell r="E279" t="str">
            <v>Table 7a, DEFRA 2008</v>
          </cell>
          <cell r="F279" t="str">
            <v>Combustion Only</v>
          </cell>
          <cell r="G279">
            <v>0.2422</v>
          </cell>
          <cell r="I279">
            <v>0.2422</v>
          </cell>
        </row>
        <row r="280">
          <cell r="C280" t="str">
            <v>MPV: diesel</v>
          </cell>
          <cell r="E280" t="str">
            <v>Table 7b, DEFRA 2008</v>
          </cell>
          <cell r="F280" t="str">
            <v>Combustion Only</v>
          </cell>
          <cell r="G280">
            <v>0.21199999999999999</v>
          </cell>
          <cell r="I280">
            <v>0.21199999999999999</v>
          </cell>
        </row>
        <row r="281">
          <cell r="C281" t="str">
            <v>Dual purpose 4x4: petrol</v>
          </cell>
          <cell r="E281" t="str">
            <v>Table 7a, DEFRA 2008</v>
          </cell>
          <cell r="F281" t="str">
            <v>Combustion Only</v>
          </cell>
          <cell r="G281">
            <v>0.3054</v>
          </cell>
          <cell r="I281">
            <v>0.3054</v>
          </cell>
        </row>
        <row r="282">
          <cell r="C282" t="str">
            <v>Dual purpose 4x4: diesel</v>
          </cell>
          <cell r="E282" t="str">
            <v>Table 7b, DEFRA 2008</v>
          </cell>
          <cell r="F282" t="str">
            <v>Combustion Only</v>
          </cell>
          <cell r="G282">
            <v>0.26640000000000003</v>
          </cell>
          <cell r="I282">
            <v>0.26640000000000003</v>
          </cell>
        </row>
        <row r="283">
          <cell r="C283" t="str">
            <v>Motorbike: average</v>
          </cell>
          <cell r="E283" t="str">
            <v>Table 9, DEFRA 2008</v>
          </cell>
          <cell r="F283" t="str">
            <v>Combustion Only</v>
          </cell>
          <cell r="G283">
            <v>0.10589999999999999</v>
          </cell>
          <cell r="I283">
            <v>0.10589999999999999</v>
          </cell>
        </row>
        <row r="284">
          <cell r="C284" t="str">
            <v>Average Car (fuel unknown)</v>
          </cell>
          <cell r="E284" t="str">
            <v>Table 6d, DEFRA 2008</v>
          </cell>
          <cell r="F284" t="str">
            <v>Combustion Only</v>
          </cell>
          <cell r="G284">
            <v>0.20419999999999999</v>
          </cell>
          <cell r="I284">
            <v>0.20419999999999999</v>
          </cell>
        </row>
        <row r="285">
          <cell r="I285">
            <v>0</v>
          </cell>
        </row>
        <row r="289">
          <cell r="I289" t="str">
            <v>CO2 (Kg/passenger.km)</v>
          </cell>
        </row>
        <row r="290">
          <cell r="C290" t="str">
            <v>Mode</v>
          </cell>
          <cell r="E290" t="str">
            <v>Source ref.</v>
          </cell>
          <cell r="F290" t="str">
            <v>Boundaries</v>
          </cell>
          <cell r="G290" t="str">
            <v>Base</v>
          </cell>
          <cell r="H290" t="str">
            <v>Own</v>
          </cell>
          <cell r="I290" t="str">
            <v>Used</v>
          </cell>
        </row>
        <row r="291">
          <cell r="C291" t="str">
            <v>Rail: National</v>
          </cell>
          <cell r="E291" t="str">
            <v>Table 10, DEFRA 2008</v>
          </cell>
          <cell r="F291" t="str">
            <v>Combustion Only</v>
          </cell>
          <cell r="G291">
            <v>6.0199999999999997E-2</v>
          </cell>
          <cell r="I291">
            <v>6.0199999999999997E-2</v>
          </cell>
        </row>
        <row r="292">
          <cell r="C292" t="str">
            <v>Rail: Light rail/metro</v>
          </cell>
          <cell r="E292" t="str">
            <v>Table 10, DEFRA 2008</v>
          </cell>
          <cell r="F292" t="str">
            <v>Combustion Only</v>
          </cell>
          <cell r="G292">
            <v>7.8E-2</v>
          </cell>
          <cell r="I292">
            <v>7.8E-2</v>
          </cell>
        </row>
        <row r="293">
          <cell r="C293" t="str">
            <v>Underground</v>
          </cell>
          <cell r="E293" t="str">
            <v>Table 10, DEFRA 2008</v>
          </cell>
          <cell r="F293" t="str">
            <v>Combustion Only</v>
          </cell>
          <cell r="G293">
            <v>6.5000000000000002E-2</v>
          </cell>
          <cell r="I293">
            <v>6.5000000000000002E-2</v>
          </cell>
        </row>
        <row r="294">
          <cell r="C294" t="str">
            <v>Bus: Local</v>
          </cell>
          <cell r="E294" t="str">
            <v>Table 10, DEFRA 2008</v>
          </cell>
          <cell r="F294" t="str">
            <v>Combustion Only</v>
          </cell>
          <cell r="G294">
            <v>0.1158</v>
          </cell>
          <cell r="I294">
            <v>0.1158</v>
          </cell>
        </row>
        <row r="295">
          <cell r="C295" t="str">
            <v>Bus: London</v>
          </cell>
          <cell r="E295" t="str">
            <v>Table 10, DEFRA 2008</v>
          </cell>
          <cell r="F295" t="str">
            <v>Combustion Only</v>
          </cell>
          <cell r="G295">
            <v>8.1799999999999998E-2</v>
          </cell>
          <cell r="I295">
            <v>8.1799999999999998E-2</v>
          </cell>
        </row>
        <row r="296">
          <cell r="C296" t="str">
            <v>Taxi: Regular</v>
          </cell>
          <cell r="E296" t="str">
            <v>Table 10, DEFRA 2008</v>
          </cell>
          <cell r="F296" t="str">
            <v>Combustion Only</v>
          </cell>
          <cell r="G296">
            <v>0.1593</v>
          </cell>
          <cell r="I296">
            <v>0.1593</v>
          </cell>
        </row>
        <row r="297">
          <cell r="C297" t="str">
            <v>Taxi: London Black Cab</v>
          </cell>
          <cell r="E297" t="str">
            <v>Table 10, DEFRA 2008</v>
          </cell>
          <cell r="F297" t="str">
            <v>Combustion Only</v>
          </cell>
          <cell r="G297">
            <v>0.17199999999999999</v>
          </cell>
          <cell r="I297">
            <v>0.17199999999999999</v>
          </cell>
        </row>
        <row r="298">
          <cell r="C298" t="str">
            <v>Aeroplane: short haul</v>
          </cell>
          <cell r="E298" t="str">
            <v>Table 11, DEFRA 2008, 109% uplift not included</v>
          </cell>
          <cell r="F298" t="str">
            <v>Combustion Only</v>
          </cell>
          <cell r="G298">
            <v>9.8299999999999998E-2</v>
          </cell>
          <cell r="I298">
            <v>9.8299999999999998E-2</v>
          </cell>
        </row>
        <row r="299">
          <cell r="C299" t="str">
            <v>Aeroplane: long haul</v>
          </cell>
          <cell r="E299" t="str">
            <v>Table 11, DEFRA 2008, 109% uplift not included</v>
          </cell>
          <cell r="F299" t="str">
            <v>Combustion Only</v>
          </cell>
          <cell r="G299">
            <v>0.1106</v>
          </cell>
          <cell r="I299">
            <v>0.1106</v>
          </cell>
        </row>
        <row r="300">
          <cell r="C300" t="str">
            <v>Aeroplane: domestic</v>
          </cell>
          <cell r="E300" t="str">
            <v>Table 11, DEFRA 2008, 109% uplift not included</v>
          </cell>
          <cell r="F300" t="str">
            <v>Combustion Only</v>
          </cell>
          <cell r="G300">
            <v>0.17530000000000001</v>
          </cell>
          <cell r="I300">
            <v>0.17530000000000001</v>
          </cell>
        </row>
        <row r="301">
          <cell r="I301">
            <v>0</v>
          </cell>
        </row>
        <row r="305">
          <cell r="I305" t="str">
            <v>CO2 (Kg/pp/week)</v>
          </cell>
        </row>
        <row r="306">
          <cell r="E306" t="str">
            <v>Source ref.</v>
          </cell>
          <cell r="F306" t="str">
            <v>Boundaries</v>
          </cell>
          <cell r="G306" t="str">
            <v>Base</v>
          </cell>
          <cell r="H306" t="str">
            <v>Own</v>
          </cell>
          <cell r="I306" t="str">
            <v>Used</v>
          </cell>
        </row>
        <row r="307">
          <cell r="C307" t="str">
            <v>Summer</v>
          </cell>
          <cell r="E307" t="str">
            <v>EA Carbon Calculator_2_1883909</v>
          </cell>
          <cell r="F307" t="str">
            <v>Combustion Only</v>
          </cell>
          <cell r="G307">
            <v>9</v>
          </cell>
          <cell r="I307">
            <v>9</v>
          </cell>
        </row>
        <row r="308">
          <cell r="C308" t="str">
            <v>Winter</v>
          </cell>
          <cell r="E308" t="str">
            <v>EA Carbon Calculator_2_1883909</v>
          </cell>
          <cell r="F308" t="str">
            <v>Combustion Only</v>
          </cell>
          <cell r="G308">
            <v>18.16</v>
          </cell>
          <cell r="I308">
            <v>18.16</v>
          </cell>
        </row>
        <row r="309">
          <cell r="I309">
            <v>0</v>
          </cell>
        </row>
      </sheetData>
      <sheetData sheetId="10">
        <row r="4">
          <cell r="C4">
            <v>9</v>
          </cell>
        </row>
        <row r="5">
          <cell r="C5" t="str">
            <v>Type09</v>
          </cell>
        </row>
        <row r="329">
          <cell r="F329">
            <v>5.3526249999999997</v>
          </cell>
        </row>
        <row r="342">
          <cell r="F342">
            <v>4.5524999999999993</v>
          </cell>
        </row>
      </sheetData>
      <sheetData sheetId="11">
        <row r="18">
          <cell r="C18" t="str">
            <v>Select</v>
          </cell>
        </row>
        <row r="20">
          <cell r="C20" t="str">
            <v>Site Clearance</v>
          </cell>
          <cell r="J20">
            <v>1</v>
          </cell>
          <cell r="K20">
            <v>1</v>
          </cell>
          <cell r="L20">
            <v>1</v>
          </cell>
          <cell r="P20">
            <v>5</v>
          </cell>
          <cell r="R20">
            <v>2244</v>
          </cell>
        </row>
        <row r="22">
          <cell r="C22" t="str">
            <v>Fencing</v>
          </cell>
          <cell r="L22">
            <v>1</v>
          </cell>
          <cell r="N22">
            <v>1</v>
          </cell>
          <cell r="P22">
            <v>4</v>
          </cell>
          <cell r="R22">
            <v>702</v>
          </cell>
        </row>
        <row r="23">
          <cell r="C23" t="str">
            <v>Safety fencing</v>
          </cell>
          <cell r="L23">
            <v>1</v>
          </cell>
          <cell r="N23">
            <v>1</v>
          </cell>
          <cell r="P23">
            <v>5</v>
          </cell>
          <cell r="R23">
            <v>706</v>
          </cell>
        </row>
        <row r="25">
          <cell r="C25" t="str">
            <v>Drainage &lt;=600</v>
          </cell>
          <cell r="L25">
            <v>1</v>
          </cell>
          <cell r="M25">
            <v>1</v>
          </cell>
          <cell r="N25">
            <v>1</v>
          </cell>
          <cell r="P25">
            <v>5</v>
          </cell>
          <cell r="R25">
            <v>1048</v>
          </cell>
          <cell r="V25">
            <v>0.75936000000000003</v>
          </cell>
        </row>
        <row r="26">
          <cell r="C26" t="str">
            <v>Drainage &gt;600</v>
          </cell>
          <cell r="J26">
            <v>1</v>
          </cell>
          <cell r="L26">
            <v>1</v>
          </cell>
          <cell r="M26">
            <v>1</v>
          </cell>
          <cell r="N26">
            <v>1</v>
          </cell>
          <cell r="P26">
            <v>6</v>
          </cell>
          <cell r="R26">
            <v>2078</v>
          </cell>
        </row>
        <row r="27">
          <cell r="C27" t="str">
            <v>Gullies &amp; Connections</v>
          </cell>
          <cell r="M27">
            <v>1</v>
          </cell>
          <cell r="N27">
            <v>1</v>
          </cell>
          <cell r="P27">
            <v>4</v>
          </cell>
          <cell r="R27">
            <v>531</v>
          </cell>
        </row>
        <row r="29">
          <cell r="C29" t="str">
            <v>Bulk - Excavator</v>
          </cell>
          <cell r="M29" t="str">
            <v>Refer Mass Haul tab</v>
          </cell>
          <cell r="R29">
            <v>7.5252262500000002</v>
          </cell>
        </row>
        <row r="30">
          <cell r="C30" t="str">
            <v>Bulk - Scraper</v>
          </cell>
          <cell r="R30">
            <v>7.8744345312500013</v>
          </cell>
        </row>
        <row r="32">
          <cell r="C32" t="str">
            <v>General excavation</v>
          </cell>
          <cell r="J32">
            <v>1</v>
          </cell>
          <cell r="K32">
            <v>1</v>
          </cell>
          <cell r="P32">
            <v>3</v>
          </cell>
          <cell r="R32">
            <v>1722</v>
          </cell>
        </row>
        <row r="33">
          <cell r="C33" t="str">
            <v>Haulage only</v>
          </cell>
          <cell r="J33">
            <v>1</v>
          </cell>
          <cell r="P33">
            <v>1</v>
          </cell>
          <cell r="R33">
            <v>1030</v>
          </cell>
        </row>
        <row r="34">
          <cell r="C34" t="str">
            <v>Geotextiles</v>
          </cell>
          <cell r="K34">
            <v>1</v>
          </cell>
          <cell r="P34">
            <v>4</v>
          </cell>
          <cell r="R34">
            <v>702</v>
          </cell>
        </row>
        <row r="35">
          <cell r="C35" t="str">
            <v>Filling</v>
          </cell>
          <cell r="K35">
            <v>1</v>
          </cell>
          <cell r="P35">
            <v>3</v>
          </cell>
          <cell r="R35">
            <v>697</v>
          </cell>
        </row>
        <row r="37">
          <cell r="C37" t="str">
            <v>Sub-base</v>
          </cell>
          <cell r="K37">
            <v>2</v>
          </cell>
          <cell r="M37">
            <v>1</v>
          </cell>
          <cell r="P37">
            <v>6</v>
          </cell>
          <cell r="R37">
            <v>1736</v>
          </cell>
        </row>
        <row r="38">
          <cell r="C38" t="str">
            <v>Flexible paving</v>
          </cell>
          <cell r="L38">
            <v>2</v>
          </cell>
          <cell r="M38">
            <v>2</v>
          </cell>
          <cell r="N38">
            <v>1</v>
          </cell>
          <cell r="P38">
            <v>11</v>
          </cell>
          <cell r="R38">
            <v>1929</v>
          </cell>
        </row>
        <row r="39">
          <cell r="C39" t="str">
            <v>Concrete paving</v>
          </cell>
          <cell r="K39">
            <v>1</v>
          </cell>
          <cell r="M39">
            <v>1</v>
          </cell>
          <cell r="P39">
            <v>9</v>
          </cell>
          <cell r="R39">
            <v>1066</v>
          </cell>
        </row>
        <row r="40">
          <cell r="C40" t="str">
            <v>Cold milling</v>
          </cell>
          <cell r="K40">
            <v>1</v>
          </cell>
          <cell r="M40">
            <v>1</v>
          </cell>
          <cell r="P40">
            <v>9</v>
          </cell>
          <cell r="R40">
            <v>1066</v>
          </cell>
        </row>
        <row r="42">
          <cell r="C42" t="str">
            <v>Kerbing</v>
          </cell>
          <cell r="L42">
            <v>1</v>
          </cell>
          <cell r="P42">
            <v>5</v>
          </cell>
          <cell r="R42">
            <v>535</v>
          </cell>
        </row>
        <row r="43">
          <cell r="C43" t="str">
            <v>Footways</v>
          </cell>
          <cell r="L43">
            <v>1</v>
          </cell>
          <cell r="M43">
            <v>1</v>
          </cell>
          <cell r="N43">
            <v>1</v>
          </cell>
          <cell r="P43">
            <v>4</v>
          </cell>
          <cell r="R43">
            <v>1043</v>
          </cell>
        </row>
        <row r="45">
          <cell r="C45" t="str">
            <v>Bored piling</v>
          </cell>
          <cell r="G45">
            <v>1</v>
          </cell>
          <cell r="J45">
            <v>1</v>
          </cell>
          <cell r="K45">
            <v>1</v>
          </cell>
          <cell r="L45">
            <v>1</v>
          </cell>
          <cell r="P45">
            <v>4</v>
          </cell>
          <cell r="R45">
            <v>4290</v>
          </cell>
        </row>
        <row r="46">
          <cell r="C46" t="str">
            <v>Sheet piling</v>
          </cell>
          <cell r="I46">
            <v>1</v>
          </cell>
          <cell r="K46">
            <v>1</v>
          </cell>
          <cell r="L46">
            <v>1</v>
          </cell>
          <cell r="M46">
            <v>1</v>
          </cell>
          <cell r="P46">
            <v>3</v>
          </cell>
          <cell r="R46">
            <v>2918</v>
          </cell>
        </row>
        <row r="48">
          <cell r="C48" t="str">
            <v>Concreting</v>
          </cell>
          <cell r="L48">
            <v>0.25</v>
          </cell>
          <cell r="M48">
            <v>1</v>
          </cell>
          <cell r="N48">
            <v>2</v>
          </cell>
          <cell r="P48">
            <v>8</v>
          </cell>
          <cell r="R48">
            <v>848</v>
          </cell>
        </row>
        <row r="49">
          <cell r="C49" t="str">
            <v>Formwork</v>
          </cell>
          <cell r="L49">
            <v>0.25</v>
          </cell>
          <cell r="M49">
            <v>1</v>
          </cell>
          <cell r="N49">
            <v>1</v>
          </cell>
          <cell r="P49">
            <v>5</v>
          </cell>
          <cell r="R49">
            <v>663</v>
          </cell>
        </row>
        <row r="50">
          <cell r="C50" t="str">
            <v>Reinforcement</v>
          </cell>
          <cell r="K50">
            <v>0.25</v>
          </cell>
          <cell r="M50">
            <v>1</v>
          </cell>
          <cell r="N50">
            <v>1</v>
          </cell>
          <cell r="P50">
            <v>7</v>
          </cell>
          <cell r="R50">
            <v>715</v>
          </cell>
        </row>
        <row r="52">
          <cell r="C52" t="str">
            <v>Track Laying</v>
          </cell>
          <cell r="J52">
            <v>1</v>
          </cell>
          <cell r="L52">
            <v>1</v>
          </cell>
          <cell r="M52">
            <v>1</v>
          </cell>
          <cell r="N52">
            <v>1</v>
          </cell>
          <cell r="P52">
            <v>6</v>
          </cell>
          <cell r="R52">
            <v>2078</v>
          </cell>
        </row>
        <row r="53">
          <cell r="R53">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2">
          <cell r="E12">
            <v>1</v>
          </cell>
          <cell r="F12">
            <v>2</v>
          </cell>
          <cell r="G12">
            <v>3</v>
          </cell>
          <cell r="H12">
            <v>4</v>
          </cell>
          <cell r="I12">
            <v>5</v>
          </cell>
          <cell r="J12">
            <v>6</v>
          </cell>
          <cell r="K12">
            <v>7</v>
          </cell>
          <cell r="L12">
            <v>8</v>
          </cell>
          <cell r="M12">
            <v>9</v>
          </cell>
          <cell r="N12">
            <v>10</v>
          </cell>
          <cell r="O12">
            <v>11</v>
          </cell>
          <cell r="P12">
            <v>12</v>
          </cell>
          <cell r="Q12">
            <v>13</v>
          </cell>
          <cell r="R12">
            <v>14</v>
          </cell>
          <cell r="S12">
            <v>15</v>
          </cell>
          <cell r="T12">
            <v>16</v>
          </cell>
          <cell r="U12">
            <v>17</v>
          </cell>
          <cell r="V12">
            <v>18</v>
          </cell>
          <cell r="W12">
            <v>19</v>
          </cell>
          <cell r="X12">
            <v>20</v>
          </cell>
          <cell r="Y12">
            <v>21</v>
          </cell>
          <cell r="Z12">
            <v>22</v>
          </cell>
          <cell r="AA12">
            <v>23</v>
          </cell>
          <cell r="AB12">
            <v>24</v>
          </cell>
          <cell r="AC12">
            <v>25</v>
          </cell>
          <cell r="AD12">
            <v>26</v>
          </cell>
        </row>
        <row r="13">
          <cell r="E13" t="str">
            <v>Example</v>
          </cell>
          <cell r="F13" t="str">
            <v>Section 1.1</v>
          </cell>
          <cell r="G13" t="str">
            <v>Section 2.1</v>
          </cell>
          <cell r="H13" t="str">
            <v>Section 4.1</v>
          </cell>
          <cell r="I13" t="str">
            <v>Section 5.1</v>
          </cell>
          <cell r="J13" t="str">
            <v>Section 6.1</v>
          </cell>
          <cell r="K13" t="str">
            <v>Castletin Int.</v>
          </cell>
          <cell r="L13" t="str">
            <v>4.1 slips</v>
          </cell>
          <cell r="M13" t="str">
            <v>Meadows Link</v>
          </cell>
          <cell r="N13" t="str">
            <v>6.1 Slips</v>
          </cell>
          <cell r="O13" t="str">
            <v>Magor/Wilcrick Slips</v>
          </cell>
          <cell r="P13" t="str">
            <v>M4 approach</v>
          </cell>
          <cell r="Q13" t="str">
            <v>Existing M4</v>
          </cell>
          <cell r="R13" t="str">
            <v>Church Lane</v>
          </cell>
          <cell r="S13" t="str">
            <v>Dryffn Lane</v>
          </cell>
          <cell r="T13" t="str">
            <v>Lighthouse Road</v>
          </cell>
          <cell r="U13" t="str">
            <v>Meadows road</v>
          </cell>
          <cell r="V13" t="str">
            <v>Whitson to Llanwern</v>
          </cell>
          <cell r="W13" t="str">
            <v>North row</v>
          </cell>
          <cell r="X13" t="str">
            <v>Rush Wall (W)</v>
          </cell>
          <cell r="Y13" t="str">
            <v>Rush Wall (E)</v>
          </cell>
          <cell r="Z13" t="str">
            <v>Bareland Street</v>
          </cell>
          <cell r="AA13" t="str">
            <v>B4245</v>
          </cell>
          <cell r="AB13" t="str">
            <v>Wilcrick Jnc</v>
          </cell>
          <cell r="AC13" t="str">
            <v>Bencroft Lane</v>
          </cell>
          <cell r="AD13" t="str">
            <v>M4 departure</v>
          </cell>
        </row>
        <row r="14">
          <cell r="E14">
            <v>1</v>
          </cell>
          <cell r="F14">
            <v>0</v>
          </cell>
          <cell r="G14">
            <v>0</v>
          </cell>
          <cell r="H14">
            <v>0</v>
          </cell>
          <cell r="I14">
            <v>0</v>
          </cell>
          <cell r="J14">
            <v>0</v>
          </cell>
          <cell r="K14">
            <v>0</v>
          </cell>
          <cell r="L14">
            <v>0</v>
          </cell>
          <cell r="M14">
            <v>0</v>
          </cell>
          <cell r="N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row>
        <row r="16">
          <cell r="E16">
            <v>160</v>
          </cell>
          <cell r="F16">
            <v>3750</v>
          </cell>
          <cell r="G16">
            <v>3600</v>
          </cell>
          <cell r="H16">
            <v>2700</v>
          </cell>
          <cell r="I16">
            <v>5500</v>
          </cell>
          <cell r="J16">
            <v>4850</v>
          </cell>
          <cell r="K16">
            <v>9500</v>
          </cell>
          <cell r="L16">
            <v>900</v>
          </cell>
          <cell r="M16">
            <v>400</v>
          </cell>
          <cell r="N16">
            <v>3900</v>
          </cell>
          <cell r="O16">
            <v>1250</v>
          </cell>
          <cell r="P16">
            <v>700</v>
          </cell>
          <cell r="Q16">
            <v>1150</v>
          </cell>
          <cell r="R16">
            <v>200</v>
          </cell>
          <cell r="S16">
            <v>250</v>
          </cell>
          <cell r="T16">
            <v>1000</v>
          </cell>
          <cell r="U16">
            <v>700</v>
          </cell>
          <cell r="V16">
            <v>950</v>
          </cell>
          <cell r="W16">
            <v>600</v>
          </cell>
          <cell r="X16">
            <v>250</v>
          </cell>
          <cell r="Y16">
            <v>200</v>
          </cell>
          <cell r="Z16">
            <v>300</v>
          </cell>
          <cell r="AA16">
            <v>400</v>
          </cell>
          <cell r="AB16">
            <v>300</v>
          </cell>
          <cell r="AC16">
            <v>350</v>
          </cell>
          <cell r="AD16">
            <v>450</v>
          </cell>
        </row>
        <row r="17">
          <cell r="E17">
            <v>6</v>
          </cell>
          <cell r="F17">
            <v>32.6</v>
          </cell>
          <cell r="G17">
            <v>32.6</v>
          </cell>
          <cell r="H17">
            <v>32.6</v>
          </cell>
          <cell r="I17">
            <v>32.6</v>
          </cell>
          <cell r="J17">
            <v>32.6</v>
          </cell>
          <cell r="K17">
            <v>7.3</v>
          </cell>
          <cell r="L17">
            <v>6</v>
          </cell>
          <cell r="M17">
            <v>10.6</v>
          </cell>
          <cell r="N17">
            <v>6</v>
          </cell>
          <cell r="O17">
            <v>6</v>
          </cell>
          <cell r="P17">
            <v>10.6</v>
          </cell>
          <cell r="Q17">
            <v>25.2</v>
          </cell>
          <cell r="R17">
            <v>3.5</v>
          </cell>
          <cell r="S17">
            <v>3.5</v>
          </cell>
          <cell r="T17">
            <v>5.5</v>
          </cell>
          <cell r="U17">
            <v>7.3</v>
          </cell>
          <cell r="V17">
            <v>5.5</v>
          </cell>
          <cell r="W17">
            <v>5.5</v>
          </cell>
          <cell r="X17">
            <v>5.5</v>
          </cell>
          <cell r="Y17">
            <v>3.3</v>
          </cell>
          <cell r="Z17">
            <v>5.5</v>
          </cell>
          <cell r="AA17">
            <v>7.3</v>
          </cell>
          <cell r="AB17">
            <v>7.3</v>
          </cell>
          <cell r="AC17">
            <v>3.5</v>
          </cell>
          <cell r="AD17">
            <v>10.6</v>
          </cell>
        </row>
        <row r="18">
          <cell r="E18">
            <v>0</v>
          </cell>
          <cell r="F18">
            <v>1</v>
          </cell>
          <cell r="G18">
            <v>1</v>
          </cell>
          <cell r="H18">
            <v>1</v>
          </cell>
          <cell r="I18">
            <v>1</v>
          </cell>
          <cell r="J18">
            <v>1</v>
          </cell>
          <cell r="K18">
            <v>0</v>
          </cell>
          <cell r="L18">
            <v>1</v>
          </cell>
          <cell r="M18">
            <v>0</v>
          </cell>
          <cell r="N18">
            <v>0</v>
          </cell>
          <cell r="O18">
            <v>1</v>
          </cell>
          <cell r="P18">
            <v>0</v>
          </cell>
          <cell r="Q18">
            <v>0</v>
          </cell>
          <cell r="R18">
            <v>0</v>
          </cell>
          <cell r="S18">
            <v>0</v>
          </cell>
          <cell r="T18">
            <v>0</v>
          </cell>
          <cell r="U18">
            <v>0</v>
          </cell>
          <cell r="V18">
            <v>0</v>
          </cell>
          <cell r="W18">
            <v>0</v>
          </cell>
          <cell r="X18">
            <v>0</v>
          </cell>
          <cell r="Y18">
            <v>0</v>
          </cell>
          <cell r="Z18">
            <v>0</v>
          </cell>
          <cell r="AA18">
            <v>0</v>
          </cell>
          <cell r="AB18">
            <v>1</v>
          </cell>
          <cell r="AC18">
            <v>0</v>
          </cell>
          <cell r="AD18">
            <v>0</v>
          </cell>
        </row>
        <row r="19">
          <cell r="E19">
            <v>2.5</v>
          </cell>
          <cell r="F19">
            <v>2.5</v>
          </cell>
          <cell r="G19">
            <v>2.5</v>
          </cell>
          <cell r="H19">
            <v>2.5</v>
          </cell>
          <cell r="I19">
            <v>2.5</v>
          </cell>
          <cell r="J19">
            <v>2.5</v>
          </cell>
          <cell r="K19">
            <v>2.5</v>
          </cell>
          <cell r="L19">
            <v>2.5</v>
          </cell>
          <cell r="M19">
            <v>2.5</v>
          </cell>
          <cell r="O19">
            <v>2.5</v>
          </cell>
          <cell r="P19">
            <v>2.5</v>
          </cell>
          <cell r="Q19">
            <v>2.5</v>
          </cell>
          <cell r="R19">
            <v>2.5</v>
          </cell>
          <cell r="S19">
            <v>2.5</v>
          </cell>
          <cell r="T19">
            <v>2.5</v>
          </cell>
          <cell r="U19">
            <v>2.5</v>
          </cell>
          <cell r="V19">
            <v>2.5</v>
          </cell>
          <cell r="W19">
            <v>2.5</v>
          </cell>
          <cell r="X19">
            <v>2.5</v>
          </cell>
          <cell r="Y19">
            <v>2.5</v>
          </cell>
          <cell r="AA19">
            <v>2.5</v>
          </cell>
          <cell r="AB19">
            <v>2.5</v>
          </cell>
        </row>
        <row r="22">
          <cell r="E22">
            <v>2</v>
          </cell>
          <cell r="F22">
            <v>3.5</v>
          </cell>
          <cell r="G22">
            <v>3.5</v>
          </cell>
          <cell r="H22">
            <v>3.5</v>
          </cell>
          <cell r="I22">
            <v>3.5</v>
          </cell>
          <cell r="J22">
            <v>3.5</v>
          </cell>
          <cell r="K22">
            <v>0</v>
          </cell>
          <cell r="L22">
            <v>3.5</v>
          </cell>
          <cell r="M22">
            <v>0</v>
          </cell>
          <cell r="N22">
            <v>3.5</v>
          </cell>
          <cell r="O22">
            <v>0</v>
          </cell>
          <cell r="P22">
            <v>0</v>
          </cell>
          <cell r="Q22">
            <v>3.5</v>
          </cell>
          <cell r="R22">
            <v>0</v>
          </cell>
          <cell r="S22">
            <v>0</v>
          </cell>
          <cell r="T22">
            <v>0</v>
          </cell>
          <cell r="U22">
            <v>0</v>
          </cell>
          <cell r="V22">
            <v>0</v>
          </cell>
          <cell r="W22">
            <v>0</v>
          </cell>
          <cell r="X22">
            <v>0</v>
          </cell>
          <cell r="Y22">
            <v>0</v>
          </cell>
          <cell r="Z22">
            <v>0</v>
          </cell>
          <cell r="AA22">
            <v>0</v>
          </cell>
          <cell r="AB22">
            <v>3.5</v>
          </cell>
          <cell r="AC22">
            <v>0</v>
          </cell>
          <cell r="AD22">
            <v>0</v>
          </cell>
        </row>
        <row r="23">
          <cell r="E23">
            <v>2</v>
          </cell>
          <cell r="F23">
            <v>3.5</v>
          </cell>
          <cell r="G23">
            <v>3.5</v>
          </cell>
          <cell r="H23">
            <v>3.5</v>
          </cell>
          <cell r="I23">
            <v>3.5</v>
          </cell>
          <cell r="J23">
            <v>3.5</v>
          </cell>
          <cell r="K23">
            <v>0</v>
          </cell>
          <cell r="L23">
            <v>3.5</v>
          </cell>
          <cell r="M23">
            <v>0</v>
          </cell>
          <cell r="N23">
            <v>3.5</v>
          </cell>
          <cell r="O23">
            <v>0</v>
          </cell>
          <cell r="P23">
            <v>0</v>
          </cell>
          <cell r="Q23">
            <v>3.5</v>
          </cell>
          <cell r="R23">
            <v>0</v>
          </cell>
          <cell r="S23">
            <v>0</v>
          </cell>
          <cell r="T23">
            <v>0</v>
          </cell>
          <cell r="U23">
            <v>0</v>
          </cell>
          <cell r="V23">
            <v>0</v>
          </cell>
          <cell r="W23">
            <v>0</v>
          </cell>
          <cell r="X23">
            <v>0</v>
          </cell>
          <cell r="Y23">
            <v>0</v>
          </cell>
          <cell r="Z23">
            <v>0</v>
          </cell>
          <cell r="AA23">
            <v>0</v>
          </cell>
          <cell r="AB23">
            <v>3.5</v>
          </cell>
          <cell r="AC23">
            <v>0</v>
          </cell>
          <cell r="AD23">
            <v>0</v>
          </cell>
        </row>
        <row r="27">
          <cell r="E27">
            <v>0</v>
          </cell>
          <cell r="F27">
            <v>0</v>
          </cell>
          <cell r="G27">
            <v>0</v>
          </cell>
          <cell r="H27">
            <v>0</v>
          </cell>
          <cell r="I27">
            <v>0</v>
          </cell>
          <cell r="J27">
            <v>550</v>
          </cell>
          <cell r="K27">
            <v>0</v>
          </cell>
          <cell r="L27">
            <v>0</v>
          </cell>
          <cell r="M27">
            <v>0</v>
          </cell>
          <cell r="N27">
            <v>0</v>
          </cell>
          <cell r="O27">
            <v>0</v>
          </cell>
          <cell r="P27">
            <v>0</v>
          </cell>
          <cell r="Q27">
            <v>0</v>
          </cell>
          <cell r="R27">
            <v>0</v>
          </cell>
          <cell r="S27">
            <v>0</v>
          </cell>
          <cell r="T27">
            <v>0</v>
          </cell>
          <cell r="U27">
            <v>0</v>
          </cell>
          <cell r="V27">
            <v>550</v>
          </cell>
          <cell r="W27">
            <v>0</v>
          </cell>
          <cell r="X27">
            <v>0</v>
          </cell>
          <cell r="Y27">
            <v>0</v>
          </cell>
          <cell r="Z27">
            <v>0</v>
          </cell>
          <cell r="AA27">
            <v>0</v>
          </cell>
          <cell r="AB27">
            <v>0</v>
          </cell>
          <cell r="AC27">
            <v>0</v>
          </cell>
          <cell r="AD27">
            <v>0</v>
          </cell>
        </row>
        <row r="28">
          <cell r="E28">
            <v>0.5</v>
          </cell>
          <cell r="F28">
            <v>0.7</v>
          </cell>
          <cell r="G28">
            <v>0.7</v>
          </cell>
          <cell r="H28">
            <v>0.7</v>
          </cell>
          <cell r="I28">
            <v>0.7</v>
          </cell>
          <cell r="J28">
            <v>1.5</v>
          </cell>
          <cell r="K28">
            <v>0.7</v>
          </cell>
          <cell r="L28">
            <v>1.5</v>
          </cell>
          <cell r="M28">
            <v>0.7</v>
          </cell>
          <cell r="N28">
            <v>0.7</v>
          </cell>
          <cell r="O28">
            <v>0.7</v>
          </cell>
          <cell r="P28">
            <v>0.7</v>
          </cell>
          <cell r="Q28">
            <v>0.7</v>
          </cell>
          <cell r="R28">
            <v>0.7</v>
          </cell>
          <cell r="S28">
            <v>0.7</v>
          </cell>
          <cell r="T28">
            <v>0.7</v>
          </cell>
          <cell r="U28">
            <v>0.7</v>
          </cell>
          <cell r="V28">
            <v>1.5</v>
          </cell>
          <cell r="W28">
            <v>0.7</v>
          </cell>
          <cell r="X28">
            <v>1.5</v>
          </cell>
          <cell r="Y28">
            <v>0.7</v>
          </cell>
          <cell r="Z28">
            <v>0.7</v>
          </cell>
          <cell r="AA28">
            <v>0.7</v>
          </cell>
          <cell r="AB28">
            <v>0.7</v>
          </cell>
          <cell r="AC28">
            <v>0.7</v>
          </cell>
          <cell r="AD28">
            <v>0.7</v>
          </cell>
        </row>
        <row r="31">
          <cell r="E31">
            <v>3</v>
          </cell>
          <cell r="F31">
            <v>3</v>
          </cell>
          <cell r="G31">
            <v>3</v>
          </cell>
          <cell r="H31">
            <v>3</v>
          </cell>
          <cell r="I31">
            <v>3</v>
          </cell>
          <cell r="J31">
            <v>3</v>
          </cell>
          <cell r="K31">
            <v>3</v>
          </cell>
          <cell r="L31">
            <v>3</v>
          </cell>
          <cell r="M31">
            <v>3</v>
          </cell>
          <cell r="N31">
            <v>3</v>
          </cell>
          <cell r="O31">
            <v>3</v>
          </cell>
          <cell r="P31">
            <v>3</v>
          </cell>
          <cell r="Q31">
            <v>3</v>
          </cell>
          <cell r="R31">
            <v>3</v>
          </cell>
          <cell r="S31">
            <v>3</v>
          </cell>
          <cell r="T31">
            <v>3</v>
          </cell>
          <cell r="U31">
            <v>3</v>
          </cell>
          <cell r="V31">
            <v>3</v>
          </cell>
          <cell r="W31">
            <v>3</v>
          </cell>
          <cell r="X31">
            <v>3</v>
          </cell>
          <cell r="Y31">
            <v>3</v>
          </cell>
          <cell r="Z31">
            <v>3</v>
          </cell>
          <cell r="AA31">
            <v>3</v>
          </cell>
          <cell r="AB31">
            <v>3</v>
          </cell>
          <cell r="AC31">
            <v>3</v>
          </cell>
          <cell r="AD31">
            <v>3</v>
          </cell>
        </row>
        <row r="32">
          <cell r="E32">
            <v>3</v>
          </cell>
          <cell r="F32">
            <v>3</v>
          </cell>
          <cell r="G32">
            <v>3</v>
          </cell>
          <cell r="H32">
            <v>3</v>
          </cell>
          <cell r="I32">
            <v>3</v>
          </cell>
          <cell r="J32">
            <v>3</v>
          </cell>
          <cell r="K32">
            <v>3</v>
          </cell>
          <cell r="L32">
            <v>3</v>
          </cell>
          <cell r="M32">
            <v>3</v>
          </cell>
          <cell r="N32">
            <v>3</v>
          </cell>
          <cell r="O32">
            <v>3</v>
          </cell>
          <cell r="P32">
            <v>3</v>
          </cell>
          <cell r="Q32">
            <v>3</v>
          </cell>
          <cell r="R32">
            <v>3</v>
          </cell>
          <cell r="S32">
            <v>3</v>
          </cell>
          <cell r="T32">
            <v>3</v>
          </cell>
          <cell r="U32">
            <v>3</v>
          </cell>
          <cell r="V32">
            <v>3</v>
          </cell>
          <cell r="W32">
            <v>3</v>
          </cell>
          <cell r="X32">
            <v>3</v>
          </cell>
          <cell r="Y32">
            <v>3</v>
          </cell>
          <cell r="Z32">
            <v>3</v>
          </cell>
          <cell r="AA32">
            <v>3</v>
          </cell>
          <cell r="AB32">
            <v>3</v>
          </cell>
          <cell r="AC32">
            <v>3</v>
          </cell>
          <cell r="AD32">
            <v>3</v>
          </cell>
        </row>
        <row r="36">
          <cell r="E36">
            <v>0</v>
          </cell>
          <cell r="F36">
            <v>0</v>
          </cell>
          <cell r="G36">
            <v>0</v>
          </cell>
          <cell r="H36">
            <v>150</v>
          </cell>
          <cell r="I36">
            <v>0</v>
          </cell>
          <cell r="J36">
            <v>0</v>
          </cell>
          <cell r="K36">
            <v>0</v>
          </cell>
          <cell r="L36">
            <v>0</v>
          </cell>
          <cell r="M36">
            <v>0</v>
          </cell>
          <cell r="N36">
            <v>0</v>
          </cell>
          <cell r="O36">
            <v>0</v>
          </cell>
          <cell r="P36">
            <v>0</v>
          </cell>
          <cell r="Q36">
            <v>0</v>
          </cell>
          <cell r="R36">
            <v>0</v>
          </cell>
          <cell r="S36">
            <v>0</v>
          </cell>
          <cell r="T36">
            <v>150</v>
          </cell>
          <cell r="U36">
            <v>0</v>
          </cell>
          <cell r="V36">
            <v>0</v>
          </cell>
          <cell r="W36">
            <v>0</v>
          </cell>
          <cell r="X36">
            <v>200</v>
          </cell>
          <cell r="Y36">
            <v>0</v>
          </cell>
          <cell r="Z36">
            <v>0</v>
          </cell>
          <cell r="AA36">
            <v>0</v>
          </cell>
          <cell r="AB36">
            <v>0</v>
          </cell>
          <cell r="AC36">
            <v>0</v>
          </cell>
          <cell r="AD36">
            <v>0</v>
          </cell>
        </row>
        <row r="37">
          <cell r="E37">
            <v>0.5</v>
          </cell>
          <cell r="F37">
            <v>1</v>
          </cell>
          <cell r="G37">
            <v>1</v>
          </cell>
          <cell r="H37">
            <v>4</v>
          </cell>
          <cell r="I37">
            <v>1</v>
          </cell>
          <cell r="J37">
            <v>1</v>
          </cell>
          <cell r="K37">
            <v>1</v>
          </cell>
          <cell r="L37">
            <v>2</v>
          </cell>
          <cell r="M37">
            <v>1</v>
          </cell>
          <cell r="N37">
            <v>1</v>
          </cell>
          <cell r="O37">
            <v>1</v>
          </cell>
          <cell r="P37">
            <v>1</v>
          </cell>
          <cell r="Q37">
            <v>1</v>
          </cell>
          <cell r="R37">
            <v>1</v>
          </cell>
          <cell r="S37">
            <v>1</v>
          </cell>
          <cell r="T37">
            <v>4</v>
          </cell>
          <cell r="U37">
            <v>1</v>
          </cell>
          <cell r="V37">
            <v>1</v>
          </cell>
          <cell r="W37">
            <v>1</v>
          </cell>
          <cell r="X37">
            <v>2</v>
          </cell>
          <cell r="Y37">
            <v>1</v>
          </cell>
          <cell r="Z37">
            <v>1</v>
          </cell>
          <cell r="AA37">
            <v>1</v>
          </cell>
          <cell r="AB37">
            <v>1</v>
          </cell>
          <cell r="AC37">
            <v>1</v>
          </cell>
          <cell r="AD37">
            <v>1</v>
          </cell>
        </row>
        <row r="40">
          <cell r="E40">
            <v>3</v>
          </cell>
          <cell r="F40">
            <v>3</v>
          </cell>
          <cell r="G40">
            <v>3</v>
          </cell>
          <cell r="H40">
            <v>3</v>
          </cell>
          <cell r="I40">
            <v>3</v>
          </cell>
          <cell r="J40">
            <v>3</v>
          </cell>
          <cell r="K40">
            <v>3</v>
          </cell>
          <cell r="L40">
            <v>3</v>
          </cell>
          <cell r="M40">
            <v>3</v>
          </cell>
          <cell r="N40">
            <v>3</v>
          </cell>
          <cell r="O40">
            <v>3</v>
          </cell>
          <cell r="P40">
            <v>3</v>
          </cell>
          <cell r="Q40">
            <v>3</v>
          </cell>
          <cell r="R40">
            <v>3</v>
          </cell>
          <cell r="S40">
            <v>3</v>
          </cell>
          <cell r="T40">
            <v>3</v>
          </cell>
          <cell r="U40">
            <v>3</v>
          </cell>
          <cell r="V40">
            <v>3</v>
          </cell>
          <cell r="W40">
            <v>3</v>
          </cell>
          <cell r="X40">
            <v>3</v>
          </cell>
          <cell r="Y40">
            <v>3</v>
          </cell>
          <cell r="Z40">
            <v>3</v>
          </cell>
          <cell r="AA40">
            <v>3</v>
          </cell>
          <cell r="AB40">
            <v>3</v>
          </cell>
          <cell r="AC40">
            <v>3</v>
          </cell>
          <cell r="AD40">
            <v>3</v>
          </cell>
        </row>
        <row r="41">
          <cell r="E41">
            <v>3</v>
          </cell>
          <cell r="F41">
            <v>3</v>
          </cell>
          <cell r="G41">
            <v>3</v>
          </cell>
          <cell r="H41">
            <v>3</v>
          </cell>
          <cell r="I41">
            <v>3</v>
          </cell>
          <cell r="J41">
            <v>3</v>
          </cell>
          <cell r="K41">
            <v>3</v>
          </cell>
          <cell r="L41">
            <v>3</v>
          </cell>
          <cell r="M41">
            <v>3</v>
          </cell>
          <cell r="N41">
            <v>3</v>
          </cell>
          <cell r="O41">
            <v>3</v>
          </cell>
          <cell r="P41">
            <v>3</v>
          </cell>
          <cell r="Q41">
            <v>3</v>
          </cell>
          <cell r="R41">
            <v>3</v>
          </cell>
          <cell r="S41">
            <v>3</v>
          </cell>
          <cell r="T41">
            <v>3</v>
          </cell>
          <cell r="U41">
            <v>3</v>
          </cell>
          <cell r="V41">
            <v>3</v>
          </cell>
          <cell r="W41">
            <v>3</v>
          </cell>
          <cell r="X41">
            <v>3</v>
          </cell>
          <cell r="Y41">
            <v>3</v>
          </cell>
          <cell r="Z41">
            <v>3</v>
          </cell>
          <cell r="AA41">
            <v>3</v>
          </cell>
          <cell r="AB41">
            <v>3</v>
          </cell>
          <cell r="AC41">
            <v>3</v>
          </cell>
          <cell r="AD41">
            <v>3</v>
          </cell>
        </row>
        <row r="45">
          <cell r="E45">
            <v>0</v>
          </cell>
          <cell r="F45">
            <v>0.15</v>
          </cell>
          <cell r="G45">
            <v>0.15</v>
          </cell>
          <cell r="H45">
            <v>0.15</v>
          </cell>
          <cell r="I45">
            <v>0.15</v>
          </cell>
          <cell r="J45">
            <v>0.15</v>
          </cell>
          <cell r="K45">
            <v>0.15</v>
          </cell>
          <cell r="L45">
            <v>0.15</v>
          </cell>
          <cell r="M45">
            <v>0.15</v>
          </cell>
          <cell r="N45">
            <v>0.15</v>
          </cell>
          <cell r="O45">
            <v>0.15</v>
          </cell>
          <cell r="P45">
            <v>0.15</v>
          </cell>
          <cell r="Q45">
            <v>0.15</v>
          </cell>
          <cell r="R45">
            <v>0.15</v>
          </cell>
          <cell r="S45">
            <v>0.15</v>
          </cell>
          <cell r="T45">
            <v>0.15</v>
          </cell>
          <cell r="U45">
            <v>0.15</v>
          </cell>
          <cell r="V45">
            <v>0.15</v>
          </cell>
          <cell r="W45">
            <v>0.15</v>
          </cell>
          <cell r="X45">
            <v>0.15</v>
          </cell>
          <cell r="Y45">
            <v>0.15</v>
          </cell>
          <cell r="Z45">
            <v>0.15</v>
          </cell>
          <cell r="AA45">
            <v>0.15</v>
          </cell>
          <cell r="AB45">
            <v>0.15</v>
          </cell>
          <cell r="AC45">
            <v>0.15</v>
          </cell>
          <cell r="AD45">
            <v>0.15</v>
          </cell>
        </row>
        <row r="50">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5">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4</v>
          </cell>
          <cell r="G58">
            <v>4</v>
          </cell>
          <cell r="H58">
            <v>3</v>
          </cell>
          <cell r="I58">
            <v>4</v>
          </cell>
          <cell r="J58">
            <v>4</v>
          </cell>
          <cell r="K58">
            <v>4</v>
          </cell>
          <cell r="L58">
            <v>0</v>
          </cell>
          <cell r="M58">
            <v>4</v>
          </cell>
          <cell r="R58">
            <v>4</v>
          </cell>
          <cell r="S58">
            <v>4</v>
          </cell>
          <cell r="T58">
            <v>3</v>
          </cell>
          <cell r="U58">
            <v>4</v>
          </cell>
          <cell r="V58">
            <v>4</v>
          </cell>
          <cell r="W58">
            <v>4</v>
          </cell>
          <cell r="X58">
            <v>4</v>
          </cell>
          <cell r="Y58">
            <v>4</v>
          </cell>
        </row>
        <row r="62">
          <cell r="E62">
            <v>1</v>
          </cell>
          <cell r="F62">
            <v>1</v>
          </cell>
          <cell r="G62">
            <v>0</v>
          </cell>
          <cell r="H62">
            <v>0</v>
          </cell>
          <cell r="I62">
            <v>1</v>
          </cell>
          <cell r="J62">
            <v>1</v>
          </cell>
          <cell r="K62">
            <v>1</v>
          </cell>
          <cell r="L62">
            <v>1</v>
          </cell>
          <cell r="M62">
            <v>1</v>
          </cell>
          <cell r="R62">
            <v>1</v>
          </cell>
          <cell r="S62">
            <v>0</v>
          </cell>
          <cell r="T62">
            <v>0</v>
          </cell>
          <cell r="U62">
            <v>1</v>
          </cell>
          <cell r="V62">
            <v>1</v>
          </cell>
          <cell r="W62">
            <v>1</v>
          </cell>
          <cell r="X62">
            <v>1</v>
          </cell>
          <cell r="Y62">
            <v>1</v>
          </cell>
        </row>
        <row r="63">
          <cell r="F63">
            <v>1</v>
          </cell>
          <cell r="G63">
            <v>1</v>
          </cell>
          <cell r="H63">
            <v>1</v>
          </cell>
          <cell r="I63">
            <v>1</v>
          </cell>
          <cell r="J63">
            <v>1</v>
          </cell>
          <cell r="K63">
            <v>1</v>
          </cell>
          <cell r="L63">
            <v>1</v>
          </cell>
          <cell r="M63">
            <v>1</v>
          </cell>
          <cell r="R63">
            <v>1</v>
          </cell>
          <cell r="S63">
            <v>1</v>
          </cell>
          <cell r="T63">
            <v>1</v>
          </cell>
          <cell r="U63">
            <v>1</v>
          </cell>
          <cell r="V63">
            <v>1</v>
          </cell>
          <cell r="W63">
            <v>1</v>
          </cell>
          <cell r="X63">
            <v>1</v>
          </cell>
          <cell r="Y63">
            <v>1</v>
          </cell>
        </row>
        <row r="64">
          <cell r="E64">
            <v>1.73E-3</v>
          </cell>
          <cell r="F64">
            <v>1</v>
          </cell>
          <cell r="G64">
            <v>1</v>
          </cell>
          <cell r="H64">
            <v>1</v>
          </cell>
          <cell r="I64">
            <v>1</v>
          </cell>
          <cell r="J64">
            <v>1</v>
          </cell>
          <cell r="K64">
            <v>1</v>
          </cell>
          <cell r="L64">
            <v>1</v>
          </cell>
          <cell r="M64">
            <v>1</v>
          </cell>
          <cell r="R64">
            <v>1</v>
          </cell>
          <cell r="S64">
            <v>1</v>
          </cell>
          <cell r="T64">
            <v>1</v>
          </cell>
          <cell r="U64">
            <v>1</v>
          </cell>
          <cell r="V64">
            <v>1</v>
          </cell>
          <cell r="W64">
            <v>1</v>
          </cell>
          <cell r="X64">
            <v>1</v>
          </cell>
          <cell r="Y64">
            <v>1</v>
          </cell>
        </row>
        <row r="65">
          <cell r="E65">
            <v>50</v>
          </cell>
          <cell r="F65">
            <v>50</v>
          </cell>
          <cell r="G65">
            <v>50</v>
          </cell>
          <cell r="H65">
            <v>50</v>
          </cell>
          <cell r="I65">
            <v>50</v>
          </cell>
          <cell r="J65">
            <v>50</v>
          </cell>
          <cell r="K65">
            <v>50</v>
          </cell>
          <cell r="L65">
            <v>50</v>
          </cell>
          <cell r="M65">
            <v>50</v>
          </cell>
          <cell r="N65">
            <v>50</v>
          </cell>
          <cell r="O65">
            <v>50</v>
          </cell>
          <cell r="P65">
            <v>50</v>
          </cell>
          <cell r="Q65">
            <v>50</v>
          </cell>
          <cell r="R65">
            <v>50</v>
          </cell>
          <cell r="S65">
            <v>50</v>
          </cell>
          <cell r="T65">
            <v>50</v>
          </cell>
          <cell r="U65">
            <v>50</v>
          </cell>
          <cell r="V65">
            <v>50</v>
          </cell>
          <cell r="W65">
            <v>50</v>
          </cell>
          <cell r="X65">
            <v>50</v>
          </cell>
          <cell r="Y65">
            <v>50</v>
          </cell>
          <cell r="Z65">
            <v>50</v>
          </cell>
          <cell r="AA65">
            <v>50</v>
          </cell>
          <cell r="AB65">
            <v>50</v>
          </cell>
          <cell r="AC65">
            <v>50</v>
          </cell>
          <cell r="AD65">
            <v>50</v>
          </cell>
        </row>
        <row r="66">
          <cell r="E66">
            <v>100</v>
          </cell>
          <cell r="F66">
            <v>40</v>
          </cell>
          <cell r="G66">
            <v>40</v>
          </cell>
          <cell r="H66">
            <v>40</v>
          </cell>
          <cell r="I66">
            <v>40</v>
          </cell>
          <cell r="J66">
            <v>40</v>
          </cell>
          <cell r="K66">
            <v>40</v>
          </cell>
          <cell r="L66">
            <v>40</v>
          </cell>
          <cell r="M66">
            <v>40</v>
          </cell>
          <cell r="N66">
            <v>40</v>
          </cell>
          <cell r="O66">
            <v>40</v>
          </cell>
          <cell r="P66">
            <v>40</v>
          </cell>
          <cell r="Q66">
            <v>40</v>
          </cell>
          <cell r="R66">
            <v>40</v>
          </cell>
          <cell r="S66">
            <v>40</v>
          </cell>
          <cell r="T66">
            <v>40</v>
          </cell>
          <cell r="U66">
            <v>40</v>
          </cell>
          <cell r="V66">
            <v>40</v>
          </cell>
          <cell r="W66">
            <v>40</v>
          </cell>
          <cell r="X66">
            <v>40</v>
          </cell>
          <cell r="Y66">
            <v>40</v>
          </cell>
          <cell r="Z66">
            <v>40</v>
          </cell>
          <cell r="AA66">
            <v>40</v>
          </cell>
          <cell r="AB66">
            <v>40</v>
          </cell>
          <cell r="AC66">
            <v>40</v>
          </cell>
          <cell r="AD66">
            <v>40</v>
          </cell>
        </row>
        <row r="70">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E71">
            <v>0.75</v>
          </cell>
          <cell r="F71">
            <v>1</v>
          </cell>
          <cell r="G71">
            <v>1</v>
          </cell>
          <cell r="H71">
            <v>1</v>
          </cell>
          <cell r="I71">
            <v>1</v>
          </cell>
          <cell r="J71">
            <v>1</v>
          </cell>
          <cell r="K71">
            <v>1</v>
          </cell>
          <cell r="L71">
            <v>1</v>
          </cell>
          <cell r="M71">
            <v>1</v>
          </cell>
          <cell r="R71">
            <v>1</v>
          </cell>
          <cell r="S71">
            <v>1</v>
          </cell>
          <cell r="T71">
            <v>1</v>
          </cell>
          <cell r="U71">
            <v>1</v>
          </cell>
          <cell r="V71">
            <v>1</v>
          </cell>
          <cell r="W71">
            <v>1</v>
          </cell>
          <cell r="X71">
            <v>1</v>
          </cell>
          <cell r="Y71">
            <v>1</v>
          </cell>
        </row>
        <row r="73">
          <cell r="E73">
            <v>0</v>
          </cell>
          <cell r="F73">
            <v>0.15</v>
          </cell>
          <cell r="G73">
            <v>0.15</v>
          </cell>
          <cell r="H73">
            <v>0.15</v>
          </cell>
          <cell r="I73">
            <v>0.15</v>
          </cell>
          <cell r="J73">
            <v>0.05</v>
          </cell>
          <cell r="K73">
            <v>0.15</v>
          </cell>
          <cell r="L73">
            <v>0.05</v>
          </cell>
          <cell r="M73">
            <v>0.15</v>
          </cell>
          <cell r="R73">
            <v>0.15</v>
          </cell>
          <cell r="S73">
            <v>0.15</v>
          </cell>
          <cell r="T73">
            <v>0.15</v>
          </cell>
          <cell r="U73">
            <v>0.15</v>
          </cell>
          <cell r="V73">
            <v>0.05</v>
          </cell>
          <cell r="W73">
            <v>0.15</v>
          </cell>
          <cell r="X73">
            <v>0.05</v>
          </cell>
          <cell r="Y73">
            <v>0.15</v>
          </cell>
        </row>
        <row r="74">
          <cell r="E74">
            <v>0.08</v>
          </cell>
          <cell r="F74">
            <v>0.6</v>
          </cell>
          <cell r="G74">
            <v>0.6</v>
          </cell>
          <cell r="H74">
            <v>0.6</v>
          </cell>
          <cell r="I74">
            <v>0.6</v>
          </cell>
          <cell r="J74">
            <v>0.6</v>
          </cell>
          <cell r="K74">
            <v>0.6</v>
          </cell>
          <cell r="L74">
            <v>0.6</v>
          </cell>
          <cell r="M74">
            <v>0.6</v>
          </cell>
          <cell r="R74">
            <v>0.6</v>
          </cell>
          <cell r="S74">
            <v>0.6</v>
          </cell>
          <cell r="T74">
            <v>0.6</v>
          </cell>
          <cell r="U74">
            <v>0.6</v>
          </cell>
          <cell r="V74">
            <v>0.6</v>
          </cell>
          <cell r="W74">
            <v>0.6</v>
          </cell>
          <cell r="X74">
            <v>0.6</v>
          </cell>
          <cell r="Y74">
            <v>0.6</v>
          </cell>
        </row>
        <row r="75">
          <cell r="E75">
            <v>0.08</v>
          </cell>
          <cell r="F75">
            <v>0.6</v>
          </cell>
          <cell r="G75">
            <v>0.6</v>
          </cell>
          <cell r="H75">
            <v>0.6</v>
          </cell>
          <cell r="I75">
            <v>0.6</v>
          </cell>
          <cell r="J75">
            <v>0.6</v>
          </cell>
          <cell r="K75">
            <v>0.6</v>
          </cell>
          <cell r="L75">
            <v>0.6</v>
          </cell>
          <cell r="M75">
            <v>0.6</v>
          </cell>
          <cell r="R75">
            <v>0.6</v>
          </cell>
          <cell r="S75">
            <v>0.6</v>
          </cell>
          <cell r="T75">
            <v>0.6</v>
          </cell>
          <cell r="U75">
            <v>0.6</v>
          </cell>
          <cell r="V75">
            <v>0.6</v>
          </cell>
          <cell r="W75">
            <v>0.6</v>
          </cell>
          <cell r="X75">
            <v>0.6</v>
          </cell>
          <cell r="Y75">
            <v>0.6</v>
          </cell>
        </row>
        <row r="81">
          <cell r="E81">
            <v>0.2</v>
          </cell>
          <cell r="F81">
            <v>0.15</v>
          </cell>
          <cell r="G81">
            <v>0.15</v>
          </cell>
          <cell r="H81">
            <v>0.15</v>
          </cell>
          <cell r="I81">
            <v>0.15</v>
          </cell>
          <cell r="J81">
            <v>0.15</v>
          </cell>
          <cell r="K81">
            <v>0.15</v>
          </cell>
          <cell r="L81">
            <v>0.15</v>
          </cell>
          <cell r="M81">
            <v>0.15</v>
          </cell>
          <cell r="N81">
            <v>0.15</v>
          </cell>
          <cell r="O81">
            <v>0.15</v>
          </cell>
          <cell r="P81">
            <v>0.15</v>
          </cell>
          <cell r="Q81">
            <v>0.15</v>
          </cell>
          <cell r="R81">
            <v>0.15</v>
          </cell>
          <cell r="S81">
            <v>0.15</v>
          </cell>
          <cell r="T81">
            <v>0.15</v>
          </cell>
          <cell r="U81">
            <v>0.15</v>
          </cell>
          <cell r="V81">
            <v>0.15</v>
          </cell>
          <cell r="W81">
            <v>0.15</v>
          </cell>
          <cell r="X81">
            <v>0.15</v>
          </cell>
          <cell r="Y81">
            <v>0.15</v>
          </cell>
          <cell r="Z81">
            <v>0.15</v>
          </cell>
          <cell r="AA81">
            <v>0.15</v>
          </cell>
          <cell r="AB81">
            <v>0.15</v>
          </cell>
          <cell r="AC81">
            <v>0.15</v>
          </cell>
          <cell r="AD81">
            <v>0.15</v>
          </cell>
        </row>
        <row r="82">
          <cell r="F82">
            <v>0.15</v>
          </cell>
          <cell r="G82">
            <v>0.15</v>
          </cell>
          <cell r="H82">
            <v>0.15</v>
          </cell>
          <cell r="I82">
            <v>0.15</v>
          </cell>
          <cell r="J82">
            <v>0.15</v>
          </cell>
          <cell r="K82">
            <v>0.15</v>
          </cell>
          <cell r="L82">
            <v>0.15</v>
          </cell>
          <cell r="M82">
            <v>0.15</v>
          </cell>
          <cell r="N82">
            <v>0.15</v>
          </cell>
          <cell r="O82">
            <v>0.15</v>
          </cell>
          <cell r="P82">
            <v>0.15</v>
          </cell>
          <cell r="Q82">
            <v>0.15</v>
          </cell>
          <cell r="R82">
            <v>0.12</v>
          </cell>
          <cell r="S82">
            <v>0.12</v>
          </cell>
          <cell r="T82">
            <v>0.12</v>
          </cell>
          <cell r="U82">
            <v>0.12</v>
          </cell>
          <cell r="V82">
            <v>0.12</v>
          </cell>
          <cell r="W82">
            <v>0.12</v>
          </cell>
          <cell r="X82">
            <v>0.12</v>
          </cell>
          <cell r="Y82">
            <v>0.12</v>
          </cell>
          <cell r="Z82">
            <v>0.12</v>
          </cell>
          <cell r="AA82">
            <v>0.12</v>
          </cell>
          <cell r="AB82">
            <v>0.12</v>
          </cell>
          <cell r="AC82">
            <v>0.12</v>
          </cell>
          <cell r="AD82">
            <v>0.15</v>
          </cell>
        </row>
        <row r="83">
          <cell r="F83">
            <v>0.05</v>
          </cell>
          <cell r="G83">
            <v>0.05</v>
          </cell>
          <cell r="H83">
            <v>0.05</v>
          </cell>
          <cell r="I83">
            <v>0.05</v>
          </cell>
          <cell r="J83">
            <v>0.05</v>
          </cell>
          <cell r="K83">
            <v>0.05</v>
          </cell>
          <cell r="L83">
            <v>0.05</v>
          </cell>
          <cell r="M83">
            <v>0.05</v>
          </cell>
          <cell r="N83">
            <v>0.05</v>
          </cell>
          <cell r="O83">
            <v>0.05</v>
          </cell>
          <cell r="P83">
            <v>0.05</v>
          </cell>
          <cell r="Q83">
            <v>0.05</v>
          </cell>
          <cell r="R83">
            <v>0.05</v>
          </cell>
          <cell r="S83">
            <v>0.05</v>
          </cell>
          <cell r="T83">
            <v>0.05</v>
          </cell>
          <cell r="U83">
            <v>0.05</v>
          </cell>
          <cell r="V83">
            <v>0.05</v>
          </cell>
          <cell r="W83">
            <v>0.05</v>
          </cell>
          <cell r="X83">
            <v>0.05</v>
          </cell>
          <cell r="Y83">
            <v>0.05</v>
          </cell>
          <cell r="Z83">
            <v>0.05</v>
          </cell>
          <cell r="AA83">
            <v>0.05</v>
          </cell>
          <cell r="AB83">
            <v>0.05</v>
          </cell>
          <cell r="AC83">
            <v>0.05</v>
          </cell>
          <cell r="AD83">
            <v>0.05</v>
          </cell>
        </row>
        <row r="84">
          <cell r="F84">
            <v>3.5000000000000003E-2</v>
          </cell>
          <cell r="G84">
            <v>3.5000000000000003E-2</v>
          </cell>
          <cell r="H84">
            <v>3.5000000000000003E-2</v>
          </cell>
          <cell r="I84">
            <v>3.5000000000000003E-2</v>
          </cell>
          <cell r="J84">
            <v>3.5000000000000003E-2</v>
          </cell>
          <cell r="K84">
            <v>3.5000000000000003E-2</v>
          </cell>
          <cell r="L84">
            <v>3.5000000000000003E-2</v>
          </cell>
          <cell r="M84">
            <v>3.5000000000000003E-2</v>
          </cell>
          <cell r="N84">
            <v>3.5000000000000003E-2</v>
          </cell>
          <cell r="O84">
            <v>3.5000000000000003E-2</v>
          </cell>
          <cell r="P84">
            <v>3.5000000000000003E-2</v>
          </cell>
          <cell r="Q84">
            <v>3.5000000000000003E-2</v>
          </cell>
          <cell r="R84">
            <v>3.5000000000000003E-2</v>
          </cell>
          <cell r="S84">
            <v>3.5000000000000003E-2</v>
          </cell>
          <cell r="T84">
            <v>3.5000000000000003E-2</v>
          </cell>
          <cell r="U84">
            <v>3.5000000000000003E-2</v>
          </cell>
          <cell r="V84">
            <v>3.5000000000000003E-2</v>
          </cell>
          <cell r="W84">
            <v>3.5000000000000003E-2</v>
          </cell>
          <cell r="X84">
            <v>3.5000000000000003E-2</v>
          </cell>
          <cell r="Y84">
            <v>3.5000000000000003E-2</v>
          </cell>
          <cell r="Z84">
            <v>3.5000000000000003E-2</v>
          </cell>
          <cell r="AA84">
            <v>3.5000000000000003E-2</v>
          </cell>
          <cell r="AB84">
            <v>3.5000000000000003E-2</v>
          </cell>
          <cell r="AC84">
            <v>3.5000000000000003E-2</v>
          </cell>
          <cell r="AD84">
            <v>3.5000000000000003E-2</v>
          </cell>
        </row>
        <row r="88">
          <cell r="E88">
            <v>2</v>
          </cell>
          <cell r="F88">
            <v>0</v>
          </cell>
          <cell r="G88">
            <v>0</v>
          </cell>
          <cell r="H88">
            <v>0</v>
          </cell>
          <cell r="I88">
            <v>0</v>
          </cell>
          <cell r="J88">
            <v>0</v>
          </cell>
          <cell r="K88">
            <v>0</v>
          </cell>
          <cell r="L88">
            <v>0</v>
          </cell>
          <cell r="M88">
            <v>0</v>
          </cell>
          <cell r="N88">
            <v>0</v>
          </cell>
          <cell r="O88">
            <v>0</v>
          </cell>
          <cell r="P88">
            <v>0</v>
          </cell>
          <cell r="Q88">
            <v>0</v>
          </cell>
          <cell r="R88">
            <v>2</v>
          </cell>
          <cell r="S88">
            <v>2</v>
          </cell>
          <cell r="T88">
            <v>2</v>
          </cell>
          <cell r="U88">
            <v>2</v>
          </cell>
          <cell r="V88">
            <v>2</v>
          </cell>
          <cell r="W88">
            <v>2</v>
          </cell>
          <cell r="X88">
            <v>2</v>
          </cell>
          <cell r="Y88">
            <v>2</v>
          </cell>
          <cell r="Z88">
            <v>2</v>
          </cell>
          <cell r="AA88">
            <v>2</v>
          </cell>
          <cell r="AB88">
            <v>2</v>
          </cell>
          <cell r="AC88">
            <v>2</v>
          </cell>
          <cell r="AD88">
            <v>0</v>
          </cell>
        </row>
        <row r="89">
          <cell r="E89">
            <v>2</v>
          </cell>
          <cell r="F89">
            <v>0</v>
          </cell>
          <cell r="G89">
            <v>0</v>
          </cell>
          <cell r="H89">
            <v>0</v>
          </cell>
          <cell r="I89">
            <v>0</v>
          </cell>
          <cell r="J89">
            <v>0</v>
          </cell>
          <cell r="K89">
            <v>0</v>
          </cell>
          <cell r="L89">
            <v>0</v>
          </cell>
          <cell r="M89">
            <v>0</v>
          </cell>
          <cell r="N89">
            <v>0</v>
          </cell>
          <cell r="O89">
            <v>0</v>
          </cell>
          <cell r="P89">
            <v>0</v>
          </cell>
          <cell r="Q89">
            <v>0</v>
          </cell>
          <cell r="R89">
            <v>1</v>
          </cell>
          <cell r="S89">
            <v>1</v>
          </cell>
          <cell r="T89">
            <v>1</v>
          </cell>
          <cell r="U89">
            <v>1</v>
          </cell>
          <cell r="V89">
            <v>1</v>
          </cell>
          <cell r="W89">
            <v>1</v>
          </cell>
          <cell r="X89">
            <v>1</v>
          </cell>
          <cell r="Y89">
            <v>1</v>
          </cell>
          <cell r="Z89">
            <v>1</v>
          </cell>
          <cell r="AA89">
            <v>1</v>
          </cell>
          <cell r="AB89">
            <v>1</v>
          </cell>
          <cell r="AC89">
            <v>1</v>
          </cell>
          <cell r="AD89">
            <v>0</v>
          </cell>
        </row>
        <row r="90">
          <cell r="E90">
            <v>2</v>
          </cell>
          <cell r="F90">
            <v>3</v>
          </cell>
          <cell r="G90">
            <v>0</v>
          </cell>
          <cell r="H90">
            <v>0</v>
          </cell>
          <cell r="I90">
            <v>2.5</v>
          </cell>
          <cell r="J90">
            <v>3</v>
          </cell>
          <cell r="K90">
            <v>2.5</v>
          </cell>
          <cell r="L90">
            <v>3</v>
          </cell>
          <cell r="M90">
            <v>2.5</v>
          </cell>
          <cell r="R90">
            <v>3</v>
          </cell>
          <cell r="S90">
            <v>0</v>
          </cell>
          <cell r="T90">
            <v>0</v>
          </cell>
          <cell r="U90">
            <v>2.5</v>
          </cell>
          <cell r="V90">
            <v>3</v>
          </cell>
          <cell r="W90">
            <v>2.5</v>
          </cell>
          <cell r="X90">
            <v>3</v>
          </cell>
          <cell r="Y90">
            <v>2.5</v>
          </cell>
        </row>
        <row r="91">
          <cell r="E91">
            <v>1</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row>
        <row r="96">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row>
        <row r="97">
          <cell r="E97">
            <v>1</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row>
        <row r="98">
          <cell r="E98">
            <v>1</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102">
          <cell r="E102">
            <v>1</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row>
        <row r="103">
          <cell r="E103">
            <v>40</v>
          </cell>
          <cell r="F103">
            <v>1000</v>
          </cell>
          <cell r="G103">
            <v>1000</v>
          </cell>
          <cell r="H103">
            <v>1000</v>
          </cell>
          <cell r="I103">
            <v>1000</v>
          </cell>
          <cell r="J103">
            <v>1000</v>
          </cell>
          <cell r="K103">
            <v>1000</v>
          </cell>
          <cell r="L103">
            <v>1000</v>
          </cell>
          <cell r="M103">
            <v>1000</v>
          </cell>
          <cell r="N103">
            <v>1000</v>
          </cell>
          <cell r="O103">
            <v>1000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row>
      </sheetData>
      <sheetData sheetId="29"/>
      <sheetData sheetId="30">
        <row r="8">
          <cell r="E8" t="str">
            <v>None</v>
          </cell>
        </row>
        <row r="9">
          <cell r="E9" t="str">
            <v>Str. Steel</v>
          </cell>
          <cell r="F9">
            <v>300</v>
          </cell>
        </row>
        <row r="10">
          <cell r="E10" t="str">
            <v>Y1</v>
          </cell>
          <cell r="F10">
            <v>198</v>
          </cell>
          <cell r="G10">
            <v>700</v>
          </cell>
          <cell r="H10">
            <v>0.309</v>
          </cell>
          <cell r="I10">
            <v>0.74199999999999999</v>
          </cell>
          <cell r="J10">
            <v>210.12</v>
          </cell>
        </row>
        <row r="11">
          <cell r="E11" t="str">
            <v>Y2</v>
          </cell>
          <cell r="F11">
            <v>227</v>
          </cell>
          <cell r="G11">
            <v>800</v>
          </cell>
          <cell r="H11">
            <v>0.34</v>
          </cell>
          <cell r="I11">
            <v>0.81599999999999995</v>
          </cell>
          <cell r="J11">
            <v>231.20000000000002</v>
          </cell>
        </row>
        <row r="12">
          <cell r="E12" t="str">
            <v>Y3</v>
          </cell>
          <cell r="F12">
            <v>256</v>
          </cell>
          <cell r="G12">
            <v>900</v>
          </cell>
          <cell r="H12">
            <v>0.374</v>
          </cell>
          <cell r="I12">
            <v>0.89800000000000002</v>
          </cell>
          <cell r="J12">
            <v>254.32</v>
          </cell>
        </row>
        <row r="13">
          <cell r="E13" t="str">
            <v>Y4</v>
          </cell>
          <cell r="F13">
            <v>285</v>
          </cell>
          <cell r="G13">
            <v>1000</v>
          </cell>
          <cell r="H13">
            <v>0.41</v>
          </cell>
          <cell r="I13">
            <v>0.98399999999999999</v>
          </cell>
          <cell r="J13">
            <v>278.8</v>
          </cell>
        </row>
        <row r="14">
          <cell r="E14" t="str">
            <v>Y5</v>
          </cell>
          <cell r="F14">
            <v>313</v>
          </cell>
          <cell r="G14">
            <v>1100</v>
          </cell>
          <cell r="H14">
            <v>0.44900000000000001</v>
          </cell>
          <cell r="I14">
            <v>1.0780000000000001</v>
          </cell>
          <cell r="J14">
            <v>305.32</v>
          </cell>
        </row>
        <row r="16">
          <cell r="E16" t="str">
            <v>Y6</v>
          </cell>
          <cell r="F16">
            <v>342</v>
          </cell>
          <cell r="G16">
            <v>1200</v>
          </cell>
          <cell r="H16">
            <v>0.49099999999999999</v>
          </cell>
          <cell r="I16">
            <v>1.1779999999999999</v>
          </cell>
          <cell r="J16">
            <v>333.88</v>
          </cell>
        </row>
        <row r="17">
          <cell r="E17" t="str">
            <v>Y7</v>
          </cell>
          <cell r="F17">
            <v>371</v>
          </cell>
          <cell r="G17">
            <v>1300</v>
          </cell>
          <cell r="H17">
            <v>0.53700000000000003</v>
          </cell>
          <cell r="I17">
            <v>1.2889999999999999</v>
          </cell>
          <cell r="J17">
            <v>365.16</v>
          </cell>
        </row>
        <row r="21">
          <cell r="E21" t="str">
            <v>Y8</v>
          </cell>
          <cell r="F21">
            <v>400</v>
          </cell>
          <cell r="G21">
            <v>1400</v>
          </cell>
          <cell r="H21">
            <v>0.58499999999999996</v>
          </cell>
          <cell r="I21">
            <v>1.4039999999999999</v>
          </cell>
          <cell r="J21">
            <v>397.79999999999995</v>
          </cell>
        </row>
        <row r="22">
          <cell r="E22" t="str">
            <v>SY1</v>
          </cell>
          <cell r="F22">
            <v>240</v>
          </cell>
          <cell r="G22">
            <v>1500</v>
          </cell>
          <cell r="H22">
            <v>0.54900000000000004</v>
          </cell>
          <cell r="I22">
            <v>1.3180000000000001</v>
          </cell>
          <cell r="J22">
            <v>373.32000000000005</v>
          </cell>
        </row>
        <row r="23">
          <cell r="E23" t="str">
            <v>SY2</v>
          </cell>
          <cell r="F23">
            <v>240</v>
          </cell>
          <cell r="G23">
            <v>1600</v>
          </cell>
          <cell r="H23">
            <v>0.58099999999999996</v>
          </cell>
          <cell r="I23">
            <v>1.3939999999999999</v>
          </cell>
          <cell r="J23">
            <v>395.08</v>
          </cell>
        </row>
        <row r="25">
          <cell r="E25" t="str">
            <v>SY3</v>
          </cell>
          <cell r="F25">
            <v>240</v>
          </cell>
          <cell r="G25">
            <v>1700</v>
          </cell>
          <cell r="H25">
            <v>0.61299999999999999</v>
          </cell>
          <cell r="I25">
            <v>1.4710000000000001</v>
          </cell>
          <cell r="J25">
            <v>416.84</v>
          </cell>
        </row>
        <row r="26">
          <cell r="E26" t="str">
            <v>SY4</v>
          </cell>
          <cell r="F26">
            <v>240</v>
          </cell>
          <cell r="G26">
            <v>1800</v>
          </cell>
          <cell r="H26">
            <v>0.64500000000000002</v>
          </cell>
          <cell r="I26">
            <v>1.548</v>
          </cell>
          <cell r="J26">
            <v>438.6</v>
          </cell>
        </row>
        <row r="27">
          <cell r="E27" t="str">
            <v>SY5</v>
          </cell>
          <cell r="F27">
            <v>240</v>
          </cell>
          <cell r="G27">
            <v>1900</v>
          </cell>
          <cell r="H27">
            <v>0.67700000000000005</v>
          </cell>
          <cell r="I27">
            <v>1.625</v>
          </cell>
          <cell r="J27">
            <v>460.36</v>
          </cell>
        </row>
        <row r="28">
          <cell r="E28" t="str">
            <v>SY6</v>
          </cell>
          <cell r="F28">
            <v>240</v>
          </cell>
          <cell r="G28">
            <v>2000</v>
          </cell>
          <cell r="H28">
            <v>0.70899999999999996</v>
          </cell>
          <cell r="I28">
            <v>1.702</v>
          </cell>
          <cell r="J28">
            <v>482.11999999999995</v>
          </cell>
        </row>
        <row r="29">
          <cell r="E29" t="str">
            <v>U7</v>
          </cell>
          <cell r="F29">
            <v>1276</v>
          </cell>
          <cell r="G29">
            <v>1100</v>
          </cell>
          <cell r="H29">
            <v>0.56499999999999995</v>
          </cell>
          <cell r="I29">
            <v>1.3560000000000001</v>
          </cell>
          <cell r="J29">
            <v>384.2</v>
          </cell>
        </row>
        <row r="31">
          <cell r="E31" t="str">
            <v>U8</v>
          </cell>
          <cell r="F31">
            <v>1304</v>
          </cell>
          <cell r="G31">
            <v>1200</v>
          </cell>
          <cell r="H31">
            <v>0.59799999999999998</v>
          </cell>
          <cell r="I31">
            <v>1.4350000000000001</v>
          </cell>
          <cell r="J31">
            <v>406.64</v>
          </cell>
        </row>
        <row r="32">
          <cell r="E32" t="str">
            <v>U9</v>
          </cell>
          <cell r="F32">
            <v>1333</v>
          </cell>
          <cell r="G32">
            <v>1300</v>
          </cell>
          <cell r="H32">
            <v>0.63100000000000001</v>
          </cell>
          <cell r="I32">
            <v>1.514</v>
          </cell>
          <cell r="J32">
            <v>429.08</v>
          </cell>
        </row>
        <row r="33">
          <cell r="E33" t="str">
            <v>U10</v>
          </cell>
          <cell r="F33">
            <v>1361</v>
          </cell>
          <cell r="G33">
            <v>1400</v>
          </cell>
          <cell r="H33">
            <v>0.66400000000000003</v>
          </cell>
          <cell r="I33">
            <v>1.5940000000000001</v>
          </cell>
          <cell r="J33">
            <v>451.52000000000004</v>
          </cell>
        </row>
        <row r="34">
          <cell r="E34" t="str">
            <v>U11</v>
          </cell>
          <cell r="F34">
            <v>1390</v>
          </cell>
          <cell r="G34">
            <v>1500</v>
          </cell>
          <cell r="H34">
            <v>0.69699999999999995</v>
          </cell>
          <cell r="I34">
            <v>1.673</v>
          </cell>
          <cell r="J34">
            <v>473.96</v>
          </cell>
        </row>
        <row r="35">
          <cell r="E35" t="str">
            <v>U12</v>
          </cell>
          <cell r="F35">
            <v>1419</v>
          </cell>
          <cell r="G35">
            <v>1600</v>
          </cell>
          <cell r="H35">
            <v>0.73</v>
          </cell>
          <cell r="I35">
            <v>1.752</v>
          </cell>
          <cell r="J35">
            <v>496.4</v>
          </cell>
        </row>
        <row r="37">
          <cell r="E37">
            <v>1</v>
          </cell>
          <cell r="F37">
            <v>2</v>
          </cell>
          <cell r="G37">
            <v>3</v>
          </cell>
          <cell r="H37">
            <v>4</v>
          </cell>
          <cell r="I37">
            <v>5</v>
          </cell>
          <cell r="J37">
            <v>6</v>
          </cell>
          <cell r="K37">
            <v>7</v>
          </cell>
          <cell r="L37">
            <v>8</v>
          </cell>
          <cell r="M37">
            <v>9</v>
          </cell>
          <cell r="N37">
            <v>10</v>
          </cell>
          <cell r="O37">
            <v>11</v>
          </cell>
          <cell r="P37">
            <v>12</v>
          </cell>
          <cell r="Q37">
            <v>13</v>
          </cell>
          <cell r="R37">
            <v>14</v>
          </cell>
          <cell r="S37">
            <v>15</v>
          </cell>
        </row>
        <row r="38">
          <cell r="E38" t="str">
            <v>ST2101</v>
          </cell>
          <cell r="F38" t="str">
            <v>ST0901</v>
          </cell>
          <cell r="G38" t="str">
            <v>ST2601</v>
          </cell>
          <cell r="H38" t="str">
            <v>ST103</v>
          </cell>
          <cell r="I38" t="str">
            <v>Usk Viaduct</v>
          </cell>
          <cell r="J38" t="str">
            <v>ESQ04</v>
          </cell>
        </row>
        <row r="39">
          <cell r="E39">
            <v>0</v>
          </cell>
          <cell r="F39">
            <v>0</v>
          </cell>
          <cell r="G39">
            <v>0</v>
          </cell>
          <cell r="H39">
            <v>0</v>
          </cell>
          <cell r="I39">
            <v>1</v>
          </cell>
          <cell r="J39">
            <v>0</v>
          </cell>
          <cell r="K39">
            <v>0</v>
          </cell>
          <cell r="L39">
            <v>0</v>
          </cell>
          <cell r="M39">
            <v>0</v>
          </cell>
          <cell r="N39">
            <v>0</v>
          </cell>
          <cell r="O39">
            <v>0</v>
          </cell>
          <cell r="P39">
            <v>0</v>
          </cell>
          <cell r="Q39">
            <v>0</v>
          </cell>
          <cell r="R39">
            <v>0</v>
          </cell>
          <cell r="S39">
            <v>0</v>
          </cell>
        </row>
        <row r="41">
          <cell r="E41">
            <v>53.62</v>
          </cell>
          <cell r="F41">
            <v>23.1</v>
          </cell>
          <cell r="G41">
            <v>54.5</v>
          </cell>
          <cell r="H41">
            <v>53.22</v>
          </cell>
          <cell r="I41">
            <v>2341</v>
          </cell>
          <cell r="J41">
            <v>94.2</v>
          </cell>
        </row>
        <row r="42">
          <cell r="E42">
            <v>12.6</v>
          </cell>
          <cell r="F42">
            <v>49.5</v>
          </cell>
          <cell r="G42">
            <v>8.5</v>
          </cell>
          <cell r="H42">
            <v>2</v>
          </cell>
          <cell r="I42">
            <v>37.5</v>
          </cell>
          <cell r="J42">
            <v>16</v>
          </cell>
        </row>
        <row r="43">
          <cell r="E43">
            <v>0.25</v>
          </cell>
          <cell r="F43">
            <v>0.22</v>
          </cell>
          <cell r="G43">
            <v>0.25</v>
          </cell>
          <cell r="H43">
            <v>0.25</v>
          </cell>
          <cell r="I43">
            <v>0.3</v>
          </cell>
          <cell r="J43">
            <v>0.3</v>
          </cell>
        </row>
        <row r="44">
          <cell r="E44">
            <v>2</v>
          </cell>
          <cell r="F44">
            <v>1</v>
          </cell>
          <cell r="G44">
            <v>1</v>
          </cell>
          <cell r="H44">
            <v>1</v>
          </cell>
          <cell r="I44">
            <v>25</v>
          </cell>
          <cell r="J44">
            <v>3</v>
          </cell>
        </row>
        <row r="45">
          <cell r="E45">
            <v>0.15</v>
          </cell>
          <cell r="F45">
            <v>0.15</v>
          </cell>
          <cell r="G45">
            <v>0.15</v>
          </cell>
          <cell r="H45">
            <v>0.15</v>
          </cell>
          <cell r="I45">
            <v>0.15</v>
          </cell>
          <cell r="J45">
            <v>0.15</v>
          </cell>
        </row>
        <row r="48">
          <cell r="E48" t="b">
            <v>1</v>
          </cell>
          <cell r="F48" t="b">
            <v>1</v>
          </cell>
          <cell r="G48" t="b">
            <v>0</v>
          </cell>
          <cell r="H48" t="b">
            <v>1</v>
          </cell>
          <cell r="I48" t="b">
            <v>1</v>
          </cell>
          <cell r="J48" t="b">
            <v>0</v>
          </cell>
          <cell r="K48" t="b">
            <v>1</v>
          </cell>
          <cell r="L48" t="b">
            <v>1</v>
          </cell>
          <cell r="M48" t="b">
            <v>1</v>
          </cell>
          <cell r="N48" t="b">
            <v>1</v>
          </cell>
          <cell r="O48" t="b">
            <v>1</v>
          </cell>
          <cell r="P48" t="b">
            <v>1</v>
          </cell>
          <cell r="Q48" t="b">
            <v>1</v>
          </cell>
          <cell r="R48" t="b">
            <v>1</v>
          </cell>
          <cell r="S48" t="b">
            <v>1</v>
          </cell>
        </row>
        <row r="49">
          <cell r="E49" t="str">
            <v>U9</v>
          </cell>
          <cell r="F49" t="str">
            <v>Y5</v>
          </cell>
          <cell r="G49" t="str">
            <v>Str. Steel</v>
          </cell>
          <cell r="H49" t="str">
            <v>None</v>
          </cell>
          <cell r="I49" t="str">
            <v>None</v>
          </cell>
          <cell r="J49" t="str">
            <v>Str. Steel</v>
          </cell>
          <cell r="K49" t="str">
            <v>None</v>
          </cell>
          <cell r="L49" t="str">
            <v>None</v>
          </cell>
          <cell r="M49" t="str">
            <v>None</v>
          </cell>
          <cell r="N49" t="str">
            <v>None</v>
          </cell>
          <cell r="O49" t="str">
            <v>None</v>
          </cell>
          <cell r="P49" t="str">
            <v>None</v>
          </cell>
          <cell r="Q49" t="str">
            <v>None</v>
          </cell>
          <cell r="R49" t="str">
            <v>None</v>
          </cell>
          <cell r="S49" t="str">
            <v>None</v>
          </cell>
        </row>
        <row r="50">
          <cell r="E50">
            <v>1.333</v>
          </cell>
          <cell r="F50">
            <v>0.313</v>
          </cell>
          <cell r="G50">
            <v>0.5</v>
          </cell>
          <cell r="H50">
            <v>0</v>
          </cell>
          <cell r="I50">
            <v>0</v>
          </cell>
          <cell r="J50">
            <v>0.3</v>
          </cell>
          <cell r="K50">
            <v>0</v>
          </cell>
          <cell r="L50">
            <v>0</v>
          </cell>
          <cell r="M50">
            <v>0</v>
          </cell>
          <cell r="N50">
            <v>0</v>
          </cell>
          <cell r="O50">
            <v>0</v>
          </cell>
          <cell r="P50">
            <v>0</v>
          </cell>
          <cell r="Q50">
            <v>0</v>
          </cell>
          <cell r="R50">
            <v>0</v>
          </cell>
          <cell r="S50">
            <v>0</v>
          </cell>
        </row>
        <row r="51">
          <cell r="E51">
            <v>1300</v>
          </cell>
          <cell r="F51">
            <v>1100</v>
          </cell>
          <cell r="G51">
            <v>1.8</v>
          </cell>
          <cell r="H51">
            <v>0</v>
          </cell>
          <cell r="I51">
            <v>0</v>
          </cell>
          <cell r="J51">
            <v>0</v>
          </cell>
          <cell r="K51">
            <v>0</v>
          </cell>
          <cell r="L51">
            <v>0</v>
          </cell>
          <cell r="M51">
            <v>0</v>
          </cell>
          <cell r="N51">
            <v>0</v>
          </cell>
          <cell r="O51">
            <v>0</v>
          </cell>
          <cell r="P51">
            <v>0</v>
          </cell>
          <cell r="Q51">
            <v>0</v>
          </cell>
          <cell r="R51">
            <v>0</v>
          </cell>
          <cell r="S51">
            <v>0</v>
          </cell>
        </row>
        <row r="52">
          <cell r="E52">
            <v>1.514</v>
          </cell>
          <cell r="F52">
            <v>1.0780000000000001</v>
          </cell>
          <cell r="G52">
            <v>0</v>
          </cell>
          <cell r="H52">
            <v>0</v>
          </cell>
          <cell r="I52">
            <v>0</v>
          </cell>
          <cell r="J52">
            <v>0</v>
          </cell>
          <cell r="K52">
            <v>0</v>
          </cell>
          <cell r="L52">
            <v>0</v>
          </cell>
          <cell r="M52">
            <v>0</v>
          </cell>
          <cell r="N52">
            <v>0</v>
          </cell>
          <cell r="O52">
            <v>0</v>
          </cell>
          <cell r="P52">
            <v>0</v>
          </cell>
          <cell r="Q52">
            <v>0</v>
          </cell>
          <cell r="R52">
            <v>0</v>
          </cell>
          <cell r="S52">
            <v>0</v>
          </cell>
        </row>
        <row r="53">
          <cell r="E53">
            <v>0.2</v>
          </cell>
          <cell r="F53">
            <v>0.2</v>
          </cell>
          <cell r="G53">
            <v>0.27500000000000002</v>
          </cell>
          <cell r="H53">
            <v>0.2</v>
          </cell>
          <cell r="I53">
            <v>0.2</v>
          </cell>
          <cell r="J53">
            <v>0.17499999999999999</v>
          </cell>
          <cell r="K53">
            <v>0.2</v>
          </cell>
          <cell r="L53">
            <v>0.2</v>
          </cell>
          <cell r="M53">
            <v>0.2</v>
          </cell>
          <cell r="S53">
            <v>0.2</v>
          </cell>
        </row>
        <row r="54">
          <cell r="E54">
            <v>8</v>
          </cell>
          <cell r="F54">
            <v>38</v>
          </cell>
          <cell r="G54">
            <v>2</v>
          </cell>
          <cell r="H54">
            <v>5</v>
          </cell>
          <cell r="I54">
            <v>8</v>
          </cell>
          <cell r="J54">
            <v>6</v>
          </cell>
        </row>
        <row r="58">
          <cell r="E58">
            <v>1</v>
          </cell>
          <cell r="F58">
            <v>1.4</v>
          </cell>
          <cell r="G58">
            <v>0.5</v>
          </cell>
          <cell r="H58">
            <v>0.35</v>
          </cell>
          <cell r="I58">
            <v>2.5</v>
          </cell>
          <cell r="J58">
            <v>2</v>
          </cell>
        </row>
        <row r="59">
          <cell r="E59">
            <v>0.25</v>
          </cell>
          <cell r="F59">
            <v>1.6</v>
          </cell>
          <cell r="G59">
            <v>0.7</v>
          </cell>
          <cell r="H59">
            <v>0.5</v>
          </cell>
          <cell r="I59">
            <v>0.3</v>
          </cell>
          <cell r="J59">
            <v>0.3</v>
          </cell>
        </row>
        <row r="60">
          <cell r="E60">
            <v>0.2</v>
          </cell>
          <cell r="F60">
            <v>0.2</v>
          </cell>
          <cell r="G60">
            <v>0.2</v>
          </cell>
          <cell r="H60">
            <v>0.17499999999999999</v>
          </cell>
          <cell r="I60">
            <v>0.3</v>
          </cell>
          <cell r="J60">
            <v>0.2</v>
          </cell>
        </row>
        <row r="64">
          <cell r="E64">
            <v>9.5</v>
          </cell>
          <cell r="F64">
            <v>7.4</v>
          </cell>
          <cell r="G64">
            <v>1.8</v>
          </cell>
          <cell r="H64">
            <v>2.5</v>
          </cell>
          <cell r="I64">
            <v>1.5</v>
          </cell>
          <cell r="J64">
            <v>4</v>
          </cell>
        </row>
        <row r="65">
          <cell r="E65">
            <v>1</v>
          </cell>
          <cell r="F65">
            <v>0.8</v>
          </cell>
          <cell r="G65">
            <v>0.75</v>
          </cell>
          <cell r="H65">
            <v>0.5</v>
          </cell>
          <cell r="I65">
            <v>1.5</v>
          </cell>
          <cell r="J65">
            <v>0.5</v>
          </cell>
        </row>
        <row r="66">
          <cell r="E66">
            <v>13</v>
          </cell>
          <cell r="F66">
            <v>0</v>
          </cell>
          <cell r="G66">
            <v>25</v>
          </cell>
          <cell r="H66">
            <v>0</v>
          </cell>
          <cell r="I66">
            <v>0</v>
          </cell>
          <cell r="J66">
            <v>0</v>
          </cell>
        </row>
        <row r="67">
          <cell r="E67">
            <v>0.17499999999999999</v>
          </cell>
          <cell r="F67">
            <v>0.17499999999999999</v>
          </cell>
          <cell r="G67">
            <v>0.17499999999999999</v>
          </cell>
          <cell r="H67">
            <v>0.17499999999999999</v>
          </cell>
          <cell r="I67">
            <v>0.16500000000000001</v>
          </cell>
          <cell r="J67">
            <v>0.17499999999999999</v>
          </cell>
        </row>
        <row r="71">
          <cell r="E71">
            <v>5.5</v>
          </cell>
          <cell r="F71">
            <v>4</v>
          </cell>
          <cell r="G71">
            <v>3.5</v>
          </cell>
          <cell r="H71">
            <v>0.5</v>
          </cell>
          <cell r="I71">
            <v>13.5</v>
          </cell>
          <cell r="J71">
            <v>1.5</v>
          </cell>
        </row>
        <row r="72">
          <cell r="E72">
            <v>0.75</v>
          </cell>
          <cell r="F72">
            <v>0.8</v>
          </cell>
          <cell r="G72">
            <v>0.75</v>
          </cell>
          <cell r="H72">
            <v>0.75</v>
          </cell>
          <cell r="I72">
            <v>3</v>
          </cell>
          <cell r="J72">
            <v>0.5</v>
          </cell>
        </row>
        <row r="73">
          <cell r="E73">
            <v>2.5</v>
          </cell>
          <cell r="F73">
            <v>1.5</v>
          </cell>
          <cell r="G73">
            <v>1.7</v>
          </cell>
          <cell r="H73">
            <v>1.5</v>
          </cell>
          <cell r="I73">
            <v>5.5</v>
          </cell>
          <cell r="J73">
            <v>3</v>
          </cell>
        </row>
        <row r="74">
          <cell r="E74">
            <v>0.17499999999999999</v>
          </cell>
          <cell r="F74">
            <v>0.17599999999999999</v>
          </cell>
          <cell r="G74">
            <v>0.17599999999999999</v>
          </cell>
          <cell r="H74">
            <v>0.15</v>
          </cell>
          <cell r="I74">
            <v>0.15</v>
          </cell>
          <cell r="J74">
            <v>0.15</v>
          </cell>
        </row>
        <row r="78">
          <cell r="E78">
            <v>600</v>
          </cell>
          <cell r="F78">
            <v>600</v>
          </cell>
          <cell r="G78">
            <v>300</v>
          </cell>
          <cell r="H78">
            <v>300</v>
          </cell>
          <cell r="I78">
            <v>1500</v>
          </cell>
          <cell r="J78">
            <v>450</v>
          </cell>
          <cell r="K78">
            <v>300</v>
          </cell>
          <cell r="L78">
            <v>300</v>
          </cell>
          <cell r="M78">
            <v>300</v>
          </cell>
          <cell r="S78">
            <v>300</v>
          </cell>
        </row>
        <row r="79">
          <cell r="E79">
            <v>0</v>
          </cell>
          <cell r="F79">
            <v>0</v>
          </cell>
          <cell r="G79">
            <v>0</v>
          </cell>
          <cell r="H79">
            <v>0</v>
          </cell>
          <cell r="I79">
            <v>30</v>
          </cell>
          <cell r="J79">
            <v>10</v>
          </cell>
        </row>
        <row r="80">
          <cell r="E80">
            <v>0</v>
          </cell>
          <cell r="F80">
            <v>0</v>
          </cell>
          <cell r="G80">
            <v>0</v>
          </cell>
          <cell r="H80">
            <v>0</v>
          </cell>
          <cell r="I80">
            <v>9</v>
          </cell>
          <cell r="J80">
            <v>2</v>
          </cell>
        </row>
        <row r="81">
          <cell r="E81">
            <v>0.1</v>
          </cell>
          <cell r="F81">
            <v>0.1</v>
          </cell>
          <cell r="G81">
            <v>0</v>
          </cell>
          <cell r="H81">
            <v>0</v>
          </cell>
          <cell r="I81">
            <v>0.17499999999999999</v>
          </cell>
          <cell r="J81">
            <v>0.17499999999999999</v>
          </cell>
        </row>
        <row r="85">
          <cell r="E85">
            <v>8</v>
          </cell>
          <cell r="F85">
            <v>14</v>
          </cell>
          <cell r="G85">
            <v>10</v>
          </cell>
          <cell r="H85">
            <v>9</v>
          </cell>
          <cell r="I85">
            <v>8</v>
          </cell>
          <cell r="J85">
            <v>3</v>
          </cell>
        </row>
        <row r="86">
          <cell r="E86">
            <v>5</v>
          </cell>
          <cell r="F86">
            <v>5.3</v>
          </cell>
          <cell r="G86">
            <v>6.4</v>
          </cell>
          <cell r="H86">
            <v>2</v>
          </cell>
          <cell r="I86">
            <v>1.5</v>
          </cell>
          <cell r="J86">
            <v>3</v>
          </cell>
        </row>
        <row r="87">
          <cell r="E87">
            <v>0.75</v>
          </cell>
          <cell r="F87">
            <v>0.8</v>
          </cell>
          <cell r="G87">
            <v>0.5</v>
          </cell>
          <cell r="H87">
            <v>0.75</v>
          </cell>
          <cell r="I87">
            <v>1.5</v>
          </cell>
          <cell r="J87">
            <v>0.5</v>
          </cell>
        </row>
        <row r="92">
          <cell r="E92">
            <v>5</v>
          </cell>
          <cell r="F92">
            <v>5</v>
          </cell>
          <cell r="G92">
            <v>5</v>
          </cell>
          <cell r="H92">
            <v>5</v>
          </cell>
          <cell r="I92">
            <v>5</v>
          </cell>
          <cell r="J92">
            <v>5</v>
          </cell>
        </row>
        <row r="93">
          <cell r="E93">
            <v>0.5</v>
          </cell>
          <cell r="F93">
            <v>0.5</v>
          </cell>
          <cell r="G93">
            <v>0.5</v>
          </cell>
          <cell r="H93">
            <v>0.5</v>
          </cell>
          <cell r="I93">
            <v>0.5</v>
          </cell>
          <cell r="J93">
            <v>0.5</v>
          </cell>
        </row>
        <row r="94">
          <cell r="E94">
            <v>0.1</v>
          </cell>
          <cell r="F94">
            <v>0.1</v>
          </cell>
          <cell r="G94">
            <v>0.5</v>
          </cell>
          <cell r="H94">
            <v>0.5</v>
          </cell>
          <cell r="I94">
            <v>0.16500000000000001</v>
          </cell>
          <cell r="J94">
            <v>0.1</v>
          </cell>
        </row>
        <row r="98">
          <cell r="E98">
            <v>9</v>
          </cell>
          <cell r="F98">
            <v>0</v>
          </cell>
          <cell r="G98">
            <v>0</v>
          </cell>
          <cell r="H98">
            <v>0.5</v>
          </cell>
          <cell r="I98">
            <v>20.6</v>
          </cell>
          <cell r="J98">
            <v>7</v>
          </cell>
        </row>
        <row r="99">
          <cell r="E99">
            <v>1</v>
          </cell>
          <cell r="F99">
            <v>0</v>
          </cell>
          <cell r="G99">
            <v>0</v>
          </cell>
          <cell r="I99">
            <v>4</v>
          </cell>
          <cell r="J99">
            <v>3</v>
          </cell>
        </row>
        <row r="100">
          <cell r="E100">
            <v>12.5</v>
          </cell>
          <cell r="F100">
            <v>1</v>
          </cell>
          <cell r="I100">
            <v>12</v>
          </cell>
          <cell r="J100">
            <v>1.5</v>
          </cell>
        </row>
        <row r="101">
          <cell r="E101">
            <v>1</v>
          </cell>
          <cell r="F101">
            <v>0.5</v>
          </cell>
          <cell r="I101">
            <v>1</v>
          </cell>
          <cell r="J101">
            <v>1</v>
          </cell>
        </row>
        <row r="102">
          <cell r="E102">
            <v>0.2</v>
          </cell>
          <cell r="F102">
            <v>0.2</v>
          </cell>
          <cell r="I102">
            <v>0.17499999999999999</v>
          </cell>
          <cell r="J102">
            <v>0.17499999999999999</v>
          </cell>
        </row>
        <row r="106">
          <cell r="E106">
            <v>4</v>
          </cell>
          <cell r="F106">
            <v>0</v>
          </cell>
          <cell r="G106">
            <v>0</v>
          </cell>
          <cell r="H106">
            <v>0</v>
          </cell>
          <cell r="I106">
            <v>13.5</v>
          </cell>
          <cell r="J106">
            <v>2</v>
          </cell>
        </row>
        <row r="107">
          <cell r="E107">
            <v>0.75</v>
          </cell>
          <cell r="F107">
            <v>0</v>
          </cell>
          <cell r="G107">
            <v>0</v>
          </cell>
          <cell r="H107">
            <v>0</v>
          </cell>
          <cell r="I107">
            <v>3</v>
          </cell>
          <cell r="J107">
            <v>1</v>
          </cell>
        </row>
        <row r="108">
          <cell r="E108">
            <v>2.5</v>
          </cell>
          <cell r="F108">
            <v>3.5</v>
          </cell>
          <cell r="I108">
            <v>5.5</v>
          </cell>
          <cell r="J108">
            <v>2</v>
          </cell>
        </row>
        <row r="113">
          <cell r="E113">
            <v>450</v>
          </cell>
          <cell r="F113">
            <v>450</v>
          </cell>
          <cell r="G113">
            <v>300</v>
          </cell>
          <cell r="H113">
            <v>300</v>
          </cell>
          <cell r="I113">
            <v>1500</v>
          </cell>
          <cell r="J113">
            <v>300</v>
          </cell>
          <cell r="K113">
            <v>300</v>
          </cell>
          <cell r="L113">
            <v>300</v>
          </cell>
          <cell r="M113">
            <v>300</v>
          </cell>
          <cell r="S113">
            <v>300</v>
          </cell>
        </row>
        <row r="114">
          <cell r="E114">
            <v>0</v>
          </cell>
          <cell r="F114">
            <v>0</v>
          </cell>
          <cell r="G114">
            <v>0</v>
          </cell>
          <cell r="H114">
            <v>0</v>
          </cell>
          <cell r="I114">
            <v>30</v>
          </cell>
          <cell r="J114">
            <v>0</v>
          </cell>
        </row>
        <row r="115">
          <cell r="E115">
            <v>0</v>
          </cell>
          <cell r="F115">
            <v>0</v>
          </cell>
          <cell r="G115">
            <v>0</v>
          </cell>
          <cell r="H115">
            <v>0</v>
          </cell>
          <cell r="I115">
            <v>9</v>
          </cell>
          <cell r="J115">
            <v>0</v>
          </cell>
        </row>
        <row r="116">
          <cell r="E116">
            <v>0.1</v>
          </cell>
          <cell r="F116">
            <v>0.1</v>
          </cell>
          <cell r="I116">
            <v>0.17499999999999999</v>
          </cell>
          <cell r="J116">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harmacy"/>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ver"/>
      <sheetName val="Rev"/>
      <sheetName val="FTA Summary"/>
      <sheetName val="FTA Segment Summary"/>
      <sheetName val="Overall Summary"/>
      <sheetName val="Segment Summary Capex"/>
      <sheetName val="Segment Summary Opex"/>
      <sheetName val="OPEX"/>
      <sheetName val="Summary CAPEX"/>
      <sheetName val="Data"/>
      <sheetName val="@Risk Capex"/>
      <sheetName val="@Risk Capex (HC)"/>
      <sheetName val="Summary OPEX"/>
      <sheetName val="@Risk Opex"/>
      <sheetName val="@Risk Opex (HC)"/>
      <sheetName val="Risk Model"/>
      <sheetName val="rsklibSimData"/>
      <sheetName val="RiskSerializationData"/>
      <sheetName val="Risk Model (HC)"/>
      <sheetName val="Renewals Timeline"/>
      <sheetName val="Maintenance Facility"/>
      <sheetName val="Development Costs"/>
      <sheetName val="Dev Costs Caltrans Guidance"/>
      <sheetName val="Benchmark Data-Station"/>
      <sheetName val="Indirect Cost Breakdown"/>
      <sheetName val="Depot"/>
      <sheetName val="DIMS"/>
      <sheetName val="Steel Structure Design"/>
      <sheetName val="SECA page 1"/>
    </sheetNames>
    <sheetDataSet>
      <sheetData sheetId="0"/>
      <sheetData sheetId="1"/>
      <sheetData sheetId="2"/>
      <sheetData sheetId="3"/>
      <sheetData sheetId="4"/>
      <sheetData sheetId="5"/>
      <sheetData sheetId="6"/>
      <sheetData sheetId="7">
        <row r="22">
          <cell r="E22" t="str">
            <v>Arup Cost OPEX Costs</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ver"/>
      <sheetName val="Rev"/>
      <sheetName val="Intro "/>
      <sheetName val="Summary"/>
      <sheetName val="Estimate"/>
      <sheetName val="Names"/>
      <sheetName val="Adjustments"/>
      <sheetName val="Demo Analysis"/>
      <sheetName val="Mineworkings"/>
    </sheetNames>
    <sheetDataSet>
      <sheetData sheetId="0">
        <row r="6">
          <cell r="K6" t="str">
            <v>Gibfield Park Regeneration</v>
          </cell>
        </row>
        <row r="7">
          <cell r="K7" t="str">
            <v>Masterplan</v>
          </cell>
        </row>
      </sheetData>
      <sheetData sheetId="1" refreshError="1"/>
      <sheetData sheetId="2" refreshError="1"/>
      <sheetData sheetId="3" refreshError="1"/>
      <sheetData sheetId="4" refreshError="1"/>
      <sheetData sheetId="5" refreshError="1"/>
      <sheetData sheetId="6">
        <row r="5">
          <cell r="D5" t="str">
            <v>2010 : 4th Quarter</v>
          </cell>
        </row>
      </sheetData>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ver"/>
      <sheetName val="Rev"/>
      <sheetName val="Intro "/>
      <sheetName val="Assumption"/>
      <sheetName val="Grd Summary"/>
      <sheetName val="Elemental Summary"/>
      <sheetName val="Bow Bridge"/>
      <sheetName val="Mill St Culvert"/>
      <sheetName val="Mill St Drainage"/>
      <sheetName val="Bypass channel"/>
      <sheetName val="Wetland"/>
      <sheetName val="Prestbury Manor"/>
      <sheetName val="High St"/>
      <sheetName val="Mill Lane"/>
      <sheetName val=" Dims"/>
      <sheetName val="NameTable"/>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row r="4">
          <cell r="C4" t="str">
            <v>119827-18</v>
          </cell>
        </row>
        <row r="5">
          <cell r="C5" t="str">
            <v>Prestbury Flood Alleviation Scheme</v>
          </cell>
        </row>
        <row r="6">
          <cell r="C6" t="str">
            <v>Construction Cost Plan</v>
          </cell>
        </row>
        <row r="7">
          <cell r="C7" t="str">
            <v>4-04 Calculations</v>
          </cell>
        </row>
        <row r="8">
          <cell r="C8" t="str">
            <v>Draft</v>
          </cell>
        </row>
        <row r="9">
          <cell r="C9">
            <v>40225</v>
          </cell>
        </row>
        <row r="10">
          <cell r="C10" t="str">
            <v>Environment Agency</v>
          </cell>
        </row>
        <row r="11">
          <cell r="C11" t="str">
            <v>1Q 2010</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ypes"/>
      <sheetName val="Beam"/>
      <sheetName val="CSB"/>
      <sheetName val="Rates"/>
      <sheetName val="C_res Types"/>
      <sheetName val="Cost comparisons"/>
      <sheetName val="Replacement Costs"/>
      <sheetName val="General Data"/>
      <sheetName val="Fitzpatrick"/>
      <sheetName val="Extrudakerb"/>
      <sheetName val="Comparative rates"/>
      <sheetName val="Crash Cushions"/>
      <sheetName val="Blank Bill"/>
    </sheetNames>
    <sheetDataSet>
      <sheetData sheetId="0" refreshError="1"/>
      <sheetData sheetId="1" refreshError="1"/>
      <sheetData sheetId="2" refreshError="1"/>
      <sheetData sheetId="3"/>
      <sheetData sheetId="4">
        <row r="7">
          <cell r="B7" t="str">
            <v>Flexible</v>
          </cell>
          <cell r="N7" t="str">
            <v>Flexible</v>
          </cell>
        </row>
        <row r="8">
          <cell r="B8" t="str">
            <v>Rigid</v>
          </cell>
          <cell r="N8" t="str">
            <v>Rigid</v>
          </cell>
        </row>
        <row r="9">
          <cell r="B9" t="str">
            <v>Soft</v>
          </cell>
          <cell r="N9" t="str">
            <v>Flexible Composite</v>
          </cell>
        </row>
        <row r="10">
          <cell r="N10" t="str">
            <v>Rigid Composite</v>
          </cell>
        </row>
      </sheetData>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ver"/>
      <sheetName val="Assumption"/>
      <sheetName val="Costing Summary Offline"/>
      <sheetName val="Costing Summary Online"/>
      <sheetName val="Op 1-1 Way Toll"/>
      <sheetName val="Op 1-2 Way Toll"/>
      <sheetName val="Op 2-1 Way Toll"/>
      <sheetName val="Op 2-2 Way Toll"/>
      <sheetName val="Op 3-1 Way Toll"/>
      <sheetName val="Op 3-2 Way Toll"/>
      <sheetName val="A.1"/>
      <sheetName val="B.1"/>
      <sheetName val="B.2"/>
      <sheetName val="C.1"/>
      <sheetName val="D.1"/>
      <sheetName val="Civils Works for Gantries"/>
      <sheetName val="Specification"/>
      <sheetName val="NameTable"/>
    </sheetNames>
    <sheetDataSet>
      <sheetData sheetId="0">
        <row r="5">
          <cell r="F5" t="str">
            <v>Humber Toll Bridge Replacement</v>
          </cell>
        </row>
        <row r="11">
          <cell r="F11" t="str">
            <v>PN &amp; IB</v>
          </cell>
        </row>
        <row r="17">
          <cell r="F17" t="str">
            <v/>
          </cell>
        </row>
        <row r="19">
          <cell r="F19" t="str">
            <v/>
          </cell>
        </row>
        <row r="21">
          <cell r="F21"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INTRO_OLD"/>
      <sheetName val="PROGRAM"/>
      <sheetName val="WEATHER"/>
      <sheetName val="SYS_OUTPUT_PROFILE_INPUTS"/>
      <sheetName val="SYS_OUTPUT_PROFILE_OUTPUTS"/>
      <sheetName val="WEATHER_BINS"/>
      <sheetName val="CONVERSIONS &amp; CONSTANTS"/>
      <sheetName val="EQUIP_INPUTS"/>
      <sheetName val="SITE_INPUTS"/>
      <sheetName val="OPTION_INPUTS"/>
      <sheetName val="OPTION 1_OUTPUTS"/>
      <sheetName val="OPTION 2_OUTPUTS"/>
      <sheetName val="OPTION_COMPARISON"/>
      <sheetName val="OPTION 3_OUTPUTS"/>
      <sheetName val="OPTION 3a_OUTPUTS"/>
      <sheetName val="OPTION 4_OUTPUTS"/>
      <sheetName val="OPTION 5a_OUTPUTS"/>
      <sheetName val="OPTION 5b_OUTPUTS"/>
      <sheetName val="OPTION 6_OUTPUTS"/>
      <sheetName val="OPTION 7_OUTPUTS"/>
      <sheetName val="OPTION 8_OUTPUTS"/>
      <sheetName val="OPTION 9_OUTPUTS"/>
      <sheetName val="Heating Summary"/>
      <sheetName val="Cooling Summary"/>
      <sheetName val="Electric Summary"/>
      <sheetName val="Total Summary"/>
      <sheetName val="HDD"/>
      <sheetName val="CDD"/>
      <sheetName val="Ht Profies"/>
      <sheetName val="Cl Profies"/>
      <sheetName val="El Profiles"/>
      <sheetName val="Appx Additional Profiles"/>
      <sheetName val="Appx Flow Diagrams"/>
      <sheetName val="Appx Genentech Weather Dep"/>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ow r="8">
          <cell r="L8">
            <v>2.5</v>
          </cell>
        </row>
      </sheetData>
      <sheetData sheetId="4" refreshError="1"/>
      <sheetData sheetId="5" refreshError="1"/>
      <sheetData sheetId="6">
        <row r="8">
          <cell r="D8">
            <v>3.415E-2</v>
          </cell>
        </row>
      </sheetData>
      <sheetData sheetId="7" refreshError="1"/>
      <sheetData sheetId="8">
        <row r="8">
          <cell r="C8">
            <v>0.72699999999999998</v>
          </cell>
        </row>
      </sheetData>
      <sheetData sheetId="9">
        <row r="5">
          <cell r="B5" t="str">
            <v>OPTION 1 | BUILDING LEVEL HEATING AND COOLING PLANTS</v>
          </cell>
        </row>
      </sheetData>
      <sheetData sheetId="10">
        <row r="20">
          <cell r="C20">
            <v>3076296.2999999993</v>
          </cell>
        </row>
      </sheetData>
      <sheetData sheetId="11">
        <row r="20">
          <cell r="C20">
            <v>1553684.9999999998</v>
          </cell>
        </row>
      </sheetData>
      <sheetData sheetId="12"/>
      <sheetData sheetId="13">
        <row r="20">
          <cell r="C20">
            <v>2359540.1892857142</v>
          </cell>
        </row>
      </sheetData>
      <sheetData sheetId="14">
        <row r="20">
          <cell r="C20">
            <v>742423.87436905457</v>
          </cell>
        </row>
      </sheetData>
      <sheetData sheetId="15">
        <row r="20">
          <cell r="C20">
            <v>1553684.9999999998</v>
          </cell>
        </row>
      </sheetData>
      <sheetData sheetId="16">
        <row r="20">
          <cell r="C20">
            <v>1553684.9999999998</v>
          </cell>
        </row>
      </sheetData>
      <sheetData sheetId="17">
        <row r="20">
          <cell r="C20">
            <v>1553684.9999999998</v>
          </cell>
        </row>
      </sheetData>
      <sheetData sheetId="18">
        <row r="20">
          <cell r="C20">
            <v>3076296.2999999993</v>
          </cell>
        </row>
      </sheetData>
      <sheetData sheetId="19">
        <row r="20">
          <cell r="C20">
            <v>1553684.9999999998</v>
          </cell>
        </row>
      </sheetData>
      <sheetData sheetId="20">
        <row r="20">
          <cell r="C20">
            <v>307629.63000000012</v>
          </cell>
        </row>
      </sheetData>
      <sheetData sheetId="21">
        <row r="20">
          <cell r="C20">
            <v>1351030.4347826084</v>
          </cell>
        </row>
      </sheetData>
      <sheetData sheetId="22">
        <row r="4">
          <cell r="AH4">
            <v>47.497862505380148</v>
          </cell>
          <cell r="AI4">
            <v>8766</v>
          </cell>
        </row>
        <row r="293">
          <cell r="AH293">
            <v>216</v>
          </cell>
        </row>
      </sheetData>
      <sheetData sheetId="23">
        <row r="4">
          <cell r="AI4">
            <v>620.42482780512</v>
          </cell>
          <cell r="AJ4">
            <v>8766</v>
          </cell>
        </row>
        <row r="293">
          <cell r="AI293">
            <v>127</v>
          </cell>
        </row>
      </sheetData>
      <sheetData sheetId="24">
        <row r="4">
          <cell r="AI4">
            <v>168.78513412922712</v>
          </cell>
          <cell r="AJ4">
            <v>8766</v>
          </cell>
        </row>
        <row r="293">
          <cell r="AI293">
            <v>15</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Cover"/>
      <sheetName val="Rev"/>
      <sheetName val="Intro"/>
      <sheetName val="ExecSum"/>
      <sheetName val="GrdSum"/>
      <sheetName val="GrdSum S&amp;C"/>
      <sheetName val="Reconciliation"/>
      <sheetName val="ShellSum"/>
      <sheetName val="Shell"/>
      <sheetName val="IntSum"/>
      <sheetName val="Interiors"/>
      <sheetName val="ServSum"/>
      <sheetName val="Services"/>
      <sheetName val="ExtSum"/>
      <sheetName val="Externals"/>
      <sheetName val="Prelim"/>
      <sheetName val="Infn"/>
      <sheetName val="Fees"/>
      <sheetName val="MacroData"/>
      <sheetName val="TM_Areas"/>
      <sheetName val="Sheet1"/>
      <sheetName val="Grd Flr East"/>
      <sheetName val="Areas"/>
      <sheetName val="Steelwork"/>
      <sheetName val="Original Madejski Stadium"/>
    </sheetNames>
    <sheetDataSet>
      <sheetData sheetId="0">
        <row r="2">
          <cell r="J2" t="str">
            <v>Reading Football Club</v>
          </cell>
        </row>
        <row r="3">
          <cell r="J3" t="str">
            <v>Madejski Stadium Expansion</v>
          </cell>
        </row>
      </sheetData>
      <sheetData sheetId="1">
        <row r="10">
          <cell r="B10" t="str">
            <v>B</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
          <cell r="AS11">
            <v>1919.9</v>
          </cell>
          <cell r="AT11">
            <v>1634.7</v>
          </cell>
          <cell r="AU11">
            <v>1306.9000000000001</v>
          </cell>
          <cell r="AV11">
            <v>1430.8</v>
          </cell>
          <cell r="AW11">
            <v>219</v>
          </cell>
          <cell r="AX11">
            <v>621.96</v>
          </cell>
        </row>
        <row r="12">
          <cell r="AT12">
            <v>180</v>
          </cell>
          <cell r="AU12">
            <v>540</v>
          </cell>
        </row>
        <row r="13">
          <cell r="AS13">
            <v>917</v>
          </cell>
          <cell r="AT13">
            <v>1362.29</v>
          </cell>
          <cell r="AU13">
            <v>1113</v>
          </cell>
          <cell r="AV13">
            <v>315</v>
          </cell>
          <cell r="AX13">
            <v>826.5</v>
          </cell>
        </row>
        <row r="14">
          <cell r="AT14">
            <v>180</v>
          </cell>
          <cell r="AU14">
            <v>540</v>
          </cell>
        </row>
        <row r="15">
          <cell r="AS15">
            <v>917</v>
          </cell>
          <cell r="AT15">
            <v>1449.79</v>
          </cell>
          <cell r="AU15">
            <v>952</v>
          </cell>
          <cell r="AV15">
            <v>315</v>
          </cell>
          <cell r="AX15">
            <v>826.5</v>
          </cell>
        </row>
      </sheetData>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rup.com/" TargetMode="External"/><Relationship Id="rId2"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hyperlink" Target="http://www.grainger.com/product/4RD30?gclid=CKLl3tW5zMYCFUFufgodUNUDiA&amp;cm_mmc=PPC:GOOGLEPLAA-_-Pumps-_-Condensate%20Pumps-_-4RD30&amp;ef_id=VYIOSgAABd7hq7dA:20150708211303:s"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W204"/>
  <sheetViews>
    <sheetView workbookViewId="0"/>
  </sheetViews>
  <sheetFormatPr baseColWidth="10" defaultColWidth="10.33203125" defaultRowHeight="13" x14ac:dyDescent="0"/>
  <cols>
    <col min="1" max="5" width="1.5" style="160" customWidth="1"/>
    <col min="6" max="6" width="13" style="160" customWidth="1"/>
    <col min="7" max="7" width="9.1640625" style="160" customWidth="1"/>
    <col min="8" max="8" width="22.1640625" style="160" customWidth="1"/>
    <col min="9" max="10" width="5.33203125" style="160" customWidth="1"/>
    <col min="11" max="11" width="8.5" style="160" customWidth="1"/>
    <col min="12" max="12" width="18.5" style="160" customWidth="1"/>
    <col min="13" max="16384" width="10.33203125" style="160"/>
  </cols>
  <sheetData>
    <row r="1" spans="4:23" ht="14">
      <c r="D1" s="155"/>
      <c r="E1" s="155"/>
      <c r="F1" s="155"/>
      <c r="G1" s="155"/>
      <c r="H1" s="155"/>
      <c r="I1" s="155"/>
      <c r="J1" s="155"/>
      <c r="K1" s="155"/>
      <c r="L1" s="155"/>
      <c r="M1" s="157"/>
      <c r="N1" s="158"/>
      <c r="O1" s="159"/>
    </row>
    <row r="2" spans="4:23" ht="14">
      <c r="D2" s="155"/>
      <c r="E2" s="155"/>
      <c r="F2" s="155"/>
      <c r="G2" s="155"/>
      <c r="H2" s="155"/>
      <c r="I2" s="155"/>
      <c r="J2" s="155"/>
      <c r="K2" s="155"/>
      <c r="L2" s="156"/>
      <c r="M2" s="161"/>
      <c r="N2" s="158"/>
      <c r="O2" s="159"/>
    </row>
    <row r="3" spans="4:23" ht="14">
      <c r="D3" s="162"/>
      <c r="E3" s="162"/>
      <c r="F3" s="162"/>
      <c r="G3" s="162"/>
      <c r="H3" s="162"/>
      <c r="I3" s="162"/>
      <c r="J3" s="162"/>
      <c r="K3" s="162"/>
      <c r="L3" s="156"/>
      <c r="M3" s="161"/>
      <c r="N3" s="158"/>
      <c r="O3" s="159"/>
    </row>
    <row r="4" spans="4:23" ht="14">
      <c r="D4" s="162"/>
      <c r="E4" s="162"/>
      <c r="F4" s="163"/>
      <c r="G4" s="164"/>
      <c r="H4" s="164"/>
      <c r="I4" s="162"/>
      <c r="J4" s="162"/>
      <c r="K4" s="162"/>
      <c r="L4" s="156"/>
      <c r="M4" s="161"/>
      <c r="N4" s="158"/>
      <c r="O4" s="159"/>
    </row>
    <row r="5" spans="4:23" ht="14">
      <c r="D5" s="162"/>
      <c r="E5" s="162"/>
      <c r="F5" s="163"/>
      <c r="G5" s="164"/>
      <c r="H5" s="164"/>
      <c r="I5" s="162"/>
      <c r="J5" s="162"/>
      <c r="K5" s="162"/>
      <c r="L5" s="156"/>
      <c r="M5" s="161"/>
      <c r="N5" s="158"/>
      <c r="O5" s="159"/>
    </row>
    <row r="6" spans="4:23" ht="14">
      <c r="D6" s="162"/>
      <c r="E6" s="162"/>
      <c r="F6" s="158"/>
      <c r="G6" s="158"/>
      <c r="H6" s="158"/>
      <c r="I6" s="158"/>
      <c r="J6" s="158"/>
      <c r="K6" s="158"/>
      <c r="L6" s="157"/>
      <c r="M6" s="157"/>
      <c r="N6" s="158"/>
      <c r="O6" s="159"/>
    </row>
    <row r="7" spans="4:23" ht="14">
      <c r="D7" s="162"/>
      <c r="E7" s="162"/>
      <c r="F7" s="159" t="s">
        <v>580</v>
      </c>
      <c r="G7" s="158"/>
      <c r="H7" s="158"/>
      <c r="I7" s="158"/>
      <c r="J7" s="158"/>
      <c r="K7" s="158"/>
      <c r="L7" s="157"/>
      <c r="M7" s="157"/>
      <c r="N7" s="158"/>
      <c r="O7" s="159"/>
    </row>
    <row r="8" spans="4:23" ht="16">
      <c r="D8" s="165"/>
      <c r="E8" s="165"/>
      <c r="F8" s="179" t="s">
        <v>629</v>
      </c>
      <c r="G8" s="166"/>
      <c r="H8" s="167"/>
      <c r="I8" s="167"/>
      <c r="J8" s="167"/>
      <c r="K8" s="167"/>
      <c r="L8" s="157"/>
      <c r="M8" s="157"/>
      <c r="N8" s="158"/>
      <c r="O8" s="159"/>
    </row>
    <row r="9" spans="4:23" ht="15">
      <c r="D9" s="165"/>
      <c r="E9" s="165"/>
      <c r="I9" s="167"/>
      <c r="J9" s="167"/>
      <c r="K9" s="167"/>
      <c r="L9" s="157"/>
      <c r="M9" s="157"/>
      <c r="N9" s="158"/>
      <c r="O9" s="159"/>
    </row>
    <row r="10" spans="4:23" ht="15">
      <c r="D10" s="165"/>
      <c r="E10" s="165"/>
      <c r="F10" s="160" t="s">
        <v>631</v>
      </c>
      <c r="I10" s="167"/>
      <c r="J10" s="167"/>
      <c r="K10" s="167"/>
      <c r="L10" s="168"/>
      <c r="M10" s="157"/>
      <c r="N10" s="158"/>
      <c r="O10" s="159"/>
      <c r="P10" s="165"/>
      <c r="Q10" s="165"/>
      <c r="R10" s="167"/>
      <c r="S10" s="167"/>
      <c r="T10" s="167"/>
      <c r="U10" s="167"/>
      <c r="V10" s="167"/>
      <c r="W10" s="167"/>
    </row>
    <row r="11" spans="4:23" ht="15">
      <c r="D11" s="162"/>
      <c r="E11" s="162"/>
      <c r="F11" s="169"/>
      <c r="G11" s="169"/>
      <c r="H11" s="169"/>
      <c r="I11" s="169"/>
      <c r="J11" s="169"/>
      <c r="K11" s="158"/>
      <c r="L11" s="157"/>
      <c r="M11" s="157"/>
      <c r="N11" s="158"/>
      <c r="O11" s="159"/>
      <c r="P11" s="165"/>
      <c r="Q11" s="165"/>
      <c r="R11" s="167"/>
      <c r="S11" s="167"/>
      <c r="T11" s="167"/>
      <c r="U11" s="167"/>
      <c r="V11" s="167"/>
      <c r="W11" s="167"/>
    </row>
    <row r="12" spans="4:23" ht="15">
      <c r="D12" s="162"/>
      <c r="E12" s="162"/>
      <c r="F12" s="191" t="s">
        <v>577</v>
      </c>
      <c r="G12" s="180"/>
      <c r="H12" s="181"/>
      <c r="I12" s="182"/>
      <c r="J12" s="169"/>
      <c r="K12" s="158"/>
      <c r="L12" s="157"/>
      <c r="M12" s="157"/>
      <c r="N12" s="158"/>
      <c r="P12" s="165"/>
      <c r="Q12" s="165"/>
      <c r="R12" s="167"/>
      <c r="S12" s="167"/>
      <c r="T12" s="167"/>
      <c r="U12" s="167"/>
      <c r="V12" s="167"/>
      <c r="W12" s="167"/>
    </row>
    <row r="13" spans="4:23" ht="15">
      <c r="D13" s="162"/>
      <c r="E13" s="162"/>
      <c r="F13" s="192" t="s">
        <v>578</v>
      </c>
      <c r="G13" s="192" t="s">
        <v>579</v>
      </c>
      <c r="H13" s="193">
        <f ca="1">TODAY()</f>
        <v>42314</v>
      </c>
      <c r="I13" s="182"/>
      <c r="J13" s="169"/>
      <c r="K13" s="170"/>
      <c r="L13" s="157"/>
      <c r="M13" s="157"/>
      <c r="N13" s="158"/>
      <c r="P13" s="165"/>
      <c r="Q13" s="165"/>
      <c r="R13" s="167"/>
      <c r="S13" s="167"/>
      <c r="T13" s="167"/>
      <c r="U13" s="167"/>
      <c r="V13" s="167"/>
      <c r="W13" s="167"/>
    </row>
    <row r="14" spans="4:23" ht="15">
      <c r="D14" s="162"/>
      <c r="E14" s="162"/>
      <c r="F14" s="169"/>
      <c r="G14" s="169"/>
      <c r="H14" s="169"/>
      <c r="I14" s="169"/>
      <c r="J14" s="169"/>
      <c r="K14" s="158"/>
      <c r="L14" s="157"/>
      <c r="M14" s="157"/>
      <c r="N14" s="158"/>
      <c r="P14" s="165"/>
      <c r="Q14" s="165"/>
      <c r="R14" s="167"/>
      <c r="S14" s="167"/>
      <c r="T14" s="167"/>
      <c r="U14" s="167"/>
      <c r="V14" s="167"/>
      <c r="W14" s="167"/>
    </row>
    <row r="15" spans="4:23" ht="15">
      <c r="D15" s="162"/>
      <c r="E15" s="162"/>
      <c r="F15" s="169"/>
      <c r="G15" s="169"/>
      <c r="H15" s="169"/>
      <c r="I15" s="169"/>
      <c r="J15" s="169"/>
      <c r="K15" s="158"/>
      <c r="L15" s="157"/>
      <c r="M15" s="157"/>
      <c r="N15" s="158"/>
      <c r="P15" s="165"/>
      <c r="Q15" s="165"/>
      <c r="R15" s="165"/>
      <c r="S15" s="165"/>
      <c r="T15" s="167"/>
      <c r="U15" s="167"/>
      <c r="V15" s="167"/>
      <c r="W15" s="167"/>
    </row>
    <row r="16" spans="4:23" ht="15">
      <c r="D16" s="162"/>
      <c r="E16" s="162"/>
      <c r="F16" s="171"/>
      <c r="G16" s="169"/>
      <c r="H16" s="169"/>
      <c r="I16" s="169"/>
      <c r="J16" s="169"/>
      <c r="K16" s="158"/>
      <c r="L16" s="157"/>
      <c r="M16" s="157"/>
      <c r="N16" s="158"/>
      <c r="P16" s="165"/>
      <c r="Q16" s="165"/>
      <c r="R16" s="167"/>
      <c r="S16" s="167"/>
      <c r="T16" s="167"/>
      <c r="U16" s="167"/>
      <c r="V16" s="167"/>
      <c r="W16" s="167"/>
    </row>
    <row r="17" spans="4:23" ht="18">
      <c r="D17" s="162"/>
      <c r="E17" s="162"/>
      <c r="F17" s="162"/>
      <c r="G17" s="162"/>
      <c r="H17" s="162"/>
      <c r="I17" s="162"/>
      <c r="J17" s="162"/>
      <c r="K17" s="162"/>
      <c r="L17" s="162"/>
      <c r="M17" s="162"/>
      <c r="N17" s="162"/>
      <c r="P17" s="165"/>
      <c r="Q17" s="165"/>
      <c r="R17" s="172"/>
      <c r="S17" s="167"/>
      <c r="T17" s="167"/>
      <c r="U17" s="167"/>
      <c r="V17" s="167"/>
      <c r="W17" s="167"/>
    </row>
    <row r="18" spans="4:23" ht="15">
      <c r="D18" s="162"/>
      <c r="E18" s="162"/>
      <c r="F18" s="162"/>
      <c r="G18" s="162"/>
      <c r="H18" s="162"/>
      <c r="I18" s="162"/>
      <c r="J18" s="162"/>
      <c r="K18" s="162"/>
      <c r="L18" s="162"/>
      <c r="M18" s="162"/>
      <c r="N18" s="162"/>
      <c r="P18" s="165"/>
      <c r="Q18" s="165"/>
      <c r="R18" s="167"/>
      <c r="S18" s="167"/>
      <c r="T18" s="167"/>
      <c r="U18" s="167"/>
      <c r="V18" s="167"/>
      <c r="W18" s="167"/>
    </row>
    <row r="19" spans="4:23" ht="20">
      <c r="D19" s="162"/>
      <c r="E19" s="162"/>
      <c r="F19" s="162"/>
      <c r="G19" s="162"/>
      <c r="H19" s="162"/>
      <c r="I19" s="162"/>
      <c r="J19" s="162"/>
      <c r="K19" s="162"/>
      <c r="L19" s="162"/>
      <c r="M19" s="162"/>
      <c r="N19" s="162"/>
      <c r="P19" s="165"/>
      <c r="Q19" s="165"/>
      <c r="R19" s="173"/>
      <c r="S19" s="167"/>
      <c r="T19" s="167"/>
      <c r="U19" s="167"/>
      <c r="V19" s="167"/>
      <c r="W19" s="167"/>
    </row>
    <row r="20" spans="4:23" ht="15">
      <c r="D20" s="162"/>
      <c r="E20" s="162"/>
      <c r="F20" s="162"/>
      <c r="G20" s="162"/>
      <c r="H20" s="162"/>
      <c r="I20" s="162"/>
      <c r="J20" s="162"/>
      <c r="K20" s="162"/>
      <c r="L20" s="162"/>
      <c r="M20" s="162"/>
      <c r="N20" s="162"/>
      <c r="P20" s="165"/>
      <c r="Q20" s="165"/>
      <c r="T20" s="167"/>
      <c r="U20" s="167"/>
      <c r="V20" s="167"/>
      <c r="W20" s="167"/>
    </row>
    <row r="21" spans="4:23" ht="14">
      <c r="D21" s="162"/>
      <c r="E21" s="162"/>
      <c r="F21" s="162"/>
      <c r="G21" s="162"/>
      <c r="H21" s="162"/>
      <c r="I21" s="162"/>
      <c r="J21" s="162"/>
      <c r="K21" s="162"/>
      <c r="L21" s="162"/>
      <c r="M21" s="162"/>
      <c r="N21" s="162"/>
    </row>
    <row r="22" spans="4:23" ht="14">
      <c r="D22" s="162"/>
      <c r="E22" s="162"/>
      <c r="F22" s="162"/>
      <c r="G22" s="162"/>
      <c r="H22" s="162"/>
      <c r="I22" s="162"/>
      <c r="J22" s="162"/>
      <c r="K22" s="162"/>
      <c r="L22" s="162"/>
      <c r="M22" s="162"/>
      <c r="N22" s="162"/>
    </row>
    <row r="23" spans="4:23" ht="14">
      <c r="D23" s="162"/>
      <c r="E23" s="162"/>
      <c r="F23" s="162"/>
      <c r="G23" s="162"/>
      <c r="H23" s="162"/>
      <c r="I23" s="162"/>
      <c r="J23" s="162"/>
      <c r="K23" s="162"/>
      <c r="L23" s="162"/>
      <c r="M23" s="162"/>
      <c r="N23" s="162"/>
    </row>
    <row r="24" spans="4:23" ht="14">
      <c r="D24" s="162"/>
      <c r="E24" s="162"/>
      <c r="F24" s="155"/>
      <c r="G24" s="155"/>
      <c r="H24" s="155"/>
      <c r="I24" s="155"/>
      <c r="J24" s="155"/>
      <c r="K24" s="155"/>
      <c r="L24" s="162"/>
      <c r="M24" s="162"/>
      <c r="N24" s="162"/>
    </row>
    <row r="25" spans="4:23" ht="14">
      <c r="D25" s="162"/>
      <c r="E25" s="162"/>
      <c r="F25" s="183" t="s">
        <v>581</v>
      </c>
      <c r="G25" s="184"/>
      <c r="H25" s="155"/>
      <c r="I25" s="155"/>
      <c r="J25" s="155"/>
      <c r="K25" s="155"/>
      <c r="L25" s="162"/>
      <c r="M25" s="162"/>
      <c r="N25" s="162"/>
    </row>
    <row r="26" spans="4:23" ht="14">
      <c r="D26" s="162"/>
      <c r="E26" s="162"/>
      <c r="F26" s="185" t="s">
        <v>582</v>
      </c>
      <c r="G26" s="186"/>
      <c r="H26" s="155"/>
      <c r="I26" s="155"/>
      <c r="J26" s="155"/>
      <c r="K26" s="155"/>
      <c r="L26" s="162"/>
      <c r="M26" s="162"/>
      <c r="N26" s="162"/>
    </row>
    <row r="27" spans="4:23" ht="14">
      <c r="D27" s="162"/>
      <c r="E27" s="162"/>
      <c r="F27" s="187" t="s">
        <v>583</v>
      </c>
      <c r="G27" s="188"/>
      <c r="H27" s="162"/>
      <c r="I27" s="162"/>
      <c r="J27" s="162"/>
      <c r="K27" s="162"/>
      <c r="L27" s="162"/>
      <c r="M27" s="162"/>
      <c r="N27" s="162"/>
    </row>
    <row r="28" spans="4:23" ht="14">
      <c r="D28" s="162"/>
      <c r="E28" s="162"/>
      <c r="F28" s="187" t="s">
        <v>584</v>
      </c>
      <c r="G28" s="188"/>
      <c r="H28" s="162"/>
      <c r="I28" s="162"/>
      <c r="J28" s="162"/>
      <c r="K28" s="162"/>
      <c r="L28" s="162"/>
      <c r="M28" s="162"/>
      <c r="N28" s="162"/>
    </row>
    <row r="29" spans="4:23" ht="14">
      <c r="D29" s="162"/>
      <c r="E29" s="162"/>
      <c r="F29" s="762" t="s">
        <v>585</v>
      </c>
      <c r="G29" s="763"/>
      <c r="H29" s="162"/>
      <c r="I29" s="162"/>
      <c r="J29" s="162"/>
      <c r="K29" s="162"/>
      <c r="L29" s="162"/>
      <c r="M29" s="162"/>
      <c r="N29" s="162"/>
    </row>
    <row r="30" spans="4:23" ht="14">
      <c r="D30" s="162"/>
      <c r="E30" s="162"/>
      <c r="F30" s="762" t="s">
        <v>586</v>
      </c>
      <c r="G30" s="763"/>
      <c r="H30" s="162"/>
      <c r="I30" s="162"/>
      <c r="J30" s="162"/>
      <c r="K30" s="162"/>
      <c r="L30" s="162"/>
      <c r="M30" s="162"/>
      <c r="N30" s="162"/>
    </row>
    <row r="31" spans="4:23" ht="14">
      <c r="D31" s="162"/>
      <c r="E31" s="162"/>
      <c r="F31" s="189" t="s">
        <v>587</v>
      </c>
      <c r="G31" s="186"/>
      <c r="H31" s="162"/>
      <c r="I31" s="162"/>
      <c r="J31" s="162"/>
      <c r="K31" s="162"/>
      <c r="L31" s="162"/>
      <c r="M31" s="162"/>
      <c r="N31" s="162"/>
    </row>
    <row r="32" spans="4:23" ht="14">
      <c r="D32" s="162"/>
      <c r="E32" s="162"/>
      <c r="F32" s="190"/>
      <c r="G32" s="190"/>
      <c r="H32" s="162"/>
      <c r="I32" s="162"/>
      <c r="J32" s="162"/>
      <c r="K32" s="162"/>
      <c r="L32" s="162"/>
      <c r="M32" s="162"/>
      <c r="N32" s="162"/>
    </row>
    <row r="33" spans="4:14" ht="14">
      <c r="D33" s="162"/>
      <c r="E33" s="162"/>
      <c r="F33" s="162"/>
      <c r="G33" s="162"/>
      <c r="H33" s="162"/>
      <c r="I33" s="162"/>
      <c r="J33" s="162"/>
      <c r="K33" s="162"/>
      <c r="L33" s="162"/>
      <c r="M33" s="162"/>
      <c r="N33" s="162"/>
    </row>
    <row r="34" spans="4:14" ht="14">
      <c r="D34" s="162"/>
      <c r="E34" s="162"/>
      <c r="F34" s="162"/>
      <c r="G34" s="162"/>
      <c r="H34" s="162"/>
      <c r="I34" s="162"/>
      <c r="J34" s="162"/>
      <c r="K34" s="162"/>
      <c r="L34" s="162"/>
      <c r="M34" s="162"/>
      <c r="N34" s="162"/>
    </row>
    <row r="35" spans="4:14" ht="14">
      <c r="D35" s="162"/>
      <c r="E35" s="162"/>
      <c r="F35" s="162"/>
      <c r="G35" s="162"/>
      <c r="H35" s="162"/>
      <c r="I35" s="162"/>
      <c r="J35" s="162"/>
      <c r="K35" s="162"/>
      <c r="L35" s="162"/>
      <c r="M35" s="162"/>
      <c r="N35" s="162"/>
    </row>
    <row r="36" spans="4:14" ht="14">
      <c r="D36" s="162"/>
      <c r="E36" s="162"/>
      <c r="F36" s="162"/>
      <c r="G36" s="162"/>
      <c r="H36" s="162"/>
      <c r="I36" s="162"/>
      <c r="J36" s="162"/>
      <c r="K36" s="162"/>
      <c r="L36" s="162"/>
      <c r="M36" s="162"/>
      <c r="N36" s="162"/>
    </row>
    <row r="37" spans="4:14" ht="14">
      <c r="D37" s="162"/>
      <c r="E37" s="162"/>
      <c r="F37" s="162"/>
      <c r="G37" s="162"/>
      <c r="H37" s="162"/>
      <c r="I37" s="162"/>
      <c r="J37" s="162"/>
      <c r="K37" s="162"/>
      <c r="L37" s="162"/>
      <c r="M37" s="162"/>
      <c r="N37" s="162"/>
    </row>
    <row r="38" spans="4:14" ht="14">
      <c r="D38" s="162"/>
      <c r="E38" s="162"/>
      <c r="F38" s="162"/>
      <c r="G38" s="162"/>
      <c r="H38" s="162"/>
      <c r="I38" s="162"/>
      <c r="J38" s="162"/>
      <c r="K38" s="162"/>
      <c r="L38" s="162"/>
      <c r="M38" s="162"/>
      <c r="N38" s="162"/>
    </row>
    <row r="39" spans="4:14" ht="14">
      <c r="D39" s="162"/>
      <c r="E39" s="162"/>
      <c r="F39" s="162"/>
      <c r="G39" s="162"/>
      <c r="H39" s="162"/>
      <c r="I39" s="162"/>
      <c r="J39" s="162"/>
      <c r="K39" s="162"/>
      <c r="L39" s="162"/>
      <c r="M39" s="162"/>
      <c r="N39" s="162"/>
    </row>
    <row r="40" spans="4:14" ht="14">
      <c r="D40" s="162"/>
      <c r="E40" s="162"/>
      <c r="F40" s="162"/>
      <c r="G40" s="162"/>
      <c r="H40" s="162"/>
      <c r="I40" s="162"/>
      <c r="J40" s="162"/>
      <c r="K40" s="162"/>
      <c r="L40" s="162"/>
      <c r="M40" s="162"/>
      <c r="N40" s="162"/>
    </row>
    <row r="41" spans="4:14" ht="14">
      <c r="D41" s="162"/>
      <c r="E41" s="162"/>
      <c r="F41" s="162"/>
      <c r="G41" s="162"/>
      <c r="H41" s="162"/>
      <c r="I41" s="162"/>
      <c r="J41" s="162"/>
      <c r="K41" s="162"/>
      <c r="L41" s="162"/>
      <c r="M41" s="162"/>
      <c r="N41" s="162"/>
    </row>
    <row r="42" spans="4:14" ht="14">
      <c r="D42" s="162"/>
      <c r="E42" s="162"/>
      <c r="F42" s="162"/>
      <c r="G42" s="162"/>
      <c r="H42" s="162"/>
      <c r="I42" s="162"/>
      <c r="J42" s="162"/>
      <c r="K42" s="162"/>
      <c r="L42" s="162"/>
      <c r="M42" s="162"/>
      <c r="N42" s="162"/>
    </row>
    <row r="43" spans="4:14" ht="14">
      <c r="D43" s="162"/>
      <c r="E43" s="162"/>
      <c r="F43" s="162"/>
      <c r="G43" s="162"/>
      <c r="H43" s="162"/>
      <c r="I43" s="162"/>
      <c r="J43" s="162"/>
      <c r="K43" s="162"/>
      <c r="L43" s="162"/>
      <c r="M43" s="162"/>
      <c r="N43" s="162"/>
    </row>
    <row r="44" spans="4:14" ht="14">
      <c r="D44" s="162"/>
      <c r="E44" s="162"/>
      <c r="F44" s="162"/>
      <c r="G44" s="162"/>
      <c r="H44" s="162"/>
      <c r="I44" s="162"/>
      <c r="J44" s="162"/>
      <c r="K44" s="162"/>
      <c r="L44" s="162"/>
      <c r="M44" s="162"/>
      <c r="N44" s="162"/>
    </row>
    <row r="45" spans="4:14" ht="14">
      <c r="D45" s="162"/>
      <c r="E45" s="162"/>
      <c r="F45" s="162"/>
      <c r="G45" s="162"/>
      <c r="H45" s="162"/>
      <c r="I45" s="162"/>
      <c r="J45" s="162"/>
      <c r="K45" s="162"/>
      <c r="L45" s="162"/>
      <c r="M45" s="162"/>
      <c r="N45" s="162"/>
    </row>
    <row r="46" spans="4:14" ht="14">
      <c r="D46" s="162"/>
      <c r="E46" s="162"/>
      <c r="F46" s="162"/>
      <c r="G46" s="162"/>
      <c r="H46" s="162"/>
      <c r="I46" s="162"/>
      <c r="J46" s="162"/>
      <c r="K46" s="162"/>
      <c r="L46" s="162"/>
      <c r="M46" s="162"/>
      <c r="N46" s="162"/>
    </row>
    <row r="47" spans="4:14" ht="14">
      <c r="D47" s="162"/>
      <c r="E47" s="162"/>
      <c r="F47" s="162"/>
      <c r="G47" s="162"/>
      <c r="H47" s="162"/>
      <c r="I47" s="162"/>
      <c r="J47" s="162"/>
      <c r="K47" s="162"/>
      <c r="L47" s="162"/>
      <c r="M47" s="162"/>
      <c r="N47" s="162"/>
    </row>
    <row r="48" spans="4:14" ht="14">
      <c r="D48" s="162"/>
      <c r="E48" s="162"/>
      <c r="F48" s="162"/>
      <c r="G48" s="162"/>
      <c r="H48" s="162"/>
      <c r="I48" s="162"/>
      <c r="J48" s="162"/>
      <c r="K48" s="162"/>
      <c r="L48" s="162"/>
      <c r="M48" s="162"/>
      <c r="N48" s="162"/>
    </row>
    <row r="49" spans="4:14" ht="14">
      <c r="D49" s="162"/>
      <c r="E49" s="162"/>
      <c r="F49" s="162"/>
      <c r="G49" s="162"/>
      <c r="H49" s="162"/>
      <c r="I49" s="162"/>
      <c r="J49" s="162"/>
      <c r="K49" s="162"/>
      <c r="L49" s="162"/>
      <c r="M49" s="162"/>
      <c r="N49" s="162"/>
    </row>
    <row r="50" spans="4:14" ht="14">
      <c r="D50" s="162"/>
      <c r="E50" s="162"/>
      <c r="F50" s="162"/>
      <c r="G50" s="162"/>
      <c r="H50" s="162"/>
      <c r="I50" s="162"/>
      <c r="J50" s="162"/>
      <c r="K50" s="162"/>
      <c r="L50" s="162"/>
      <c r="M50" s="162"/>
      <c r="N50" s="162"/>
    </row>
    <row r="51" spans="4:14" ht="14">
      <c r="D51" s="162"/>
      <c r="E51" s="162"/>
      <c r="F51" s="162"/>
      <c r="G51" s="162"/>
      <c r="H51" s="162"/>
      <c r="I51" s="162"/>
      <c r="J51" s="162"/>
      <c r="K51" s="162"/>
      <c r="L51" s="162"/>
      <c r="M51" s="162"/>
      <c r="N51" s="162"/>
    </row>
    <row r="52" spans="4:14" ht="14">
      <c r="D52" s="162"/>
      <c r="E52" s="162"/>
      <c r="F52" s="162"/>
      <c r="G52" s="162"/>
      <c r="H52" s="162"/>
      <c r="I52" s="162"/>
      <c r="J52" s="162"/>
      <c r="K52" s="162"/>
      <c r="L52" s="162"/>
      <c r="M52" s="162"/>
      <c r="N52" s="162"/>
    </row>
    <row r="53" spans="4:14" ht="14">
      <c r="D53" s="162"/>
      <c r="E53" s="162"/>
      <c r="F53" s="162"/>
      <c r="G53" s="162"/>
      <c r="H53" s="162"/>
      <c r="I53" s="162"/>
      <c r="J53" s="162"/>
      <c r="K53" s="162"/>
      <c r="L53" s="162"/>
      <c r="M53" s="162"/>
      <c r="N53" s="162"/>
    </row>
    <row r="54" spans="4:14" ht="14">
      <c r="D54" s="162"/>
      <c r="E54" s="162"/>
      <c r="F54" s="162"/>
      <c r="G54" s="162"/>
      <c r="H54" s="162"/>
      <c r="I54" s="162"/>
      <c r="J54" s="162"/>
      <c r="K54" s="162"/>
      <c r="L54" s="162"/>
      <c r="M54" s="162"/>
      <c r="N54" s="162"/>
    </row>
    <row r="55" spans="4:14" ht="14">
      <c r="D55" s="162"/>
      <c r="E55" s="162"/>
      <c r="F55" s="162"/>
      <c r="G55" s="162"/>
      <c r="H55" s="162"/>
      <c r="I55" s="162"/>
      <c r="J55" s="162"/>
      <c r="K55" s="162"/>
      <c r="L55" s="162"/>
      <c r="M55" s="162"/>
      <c r="N55" s="162"/>
    </row>
    <row r="56" spans="4:14" ht="14">
      <c r="D56" s="162"/>
      <c r="E56" s="162"/>
      <c r="F56" s="162"/>
      <c r="G56" s="162"/>
      <c r="H56" s="162"/>
      <c r="I56" s="162"/>
      <c r="J56" s="162"/>
      <c r="K56" s="162"/>
      <c r="L56" s="162"/>
      <c r="M56" s="162"/>
      <c r="N56" s="162"/>
    </row>
    <row r="57" spans="4:14" ht="14">
      <c r="D57" s="162"/>
      <c r="E57" s="162"/>
      <c r="F57" s="162"/>
      <c r="G57" s="162"/>
      <c r="H57" s="162"/>
      <c r="I57" s="162"/>
      <c r="J57" s="162"/>
      <c r="K57" s="162"/>
      <c r="L57" s="162"/>
      <c r="M57" s="162"/>
      <c r="N57" s="162"/>
    </row>
    <row r="58" spans="4:14" ht="14">
      <c r="D58" s="162"/>
      <c r="E58" s="162"/>
      <c r="F58" s="162"/>
      <c r="G58" s="162"/>
      <c r="H58" s="162"/>
      <c r="I58" s="162"/>
      <c r="J58" s="162"/>
      <c r="K58" s="162"/>
      <c r="L58" s="162"/>
      <c r="M58" s="162"/>
      <c r="N58" s="162"/>
    </row>
    <row r="59" spans="4:14" ht="14">
      <c r="D59" s="162"/>
      <c r="E59" s="162"/>
      <c r="F59" s="162"/>
      <c r="G59" s="162"/>
      <c r="H59" s="162"/>
      <c r="I59" s="162"/>
      <c r="J59" s="162"/>
      <c r="K59" s="162"/>
      <c r="L59" s="162"/>
      <c r="M59" s="162"/>
      <c r="N59" s="162"/>
    </row>
    <row r="60" spans="4:14" ht="14">
      <c r="D60" s="162"/>
      <c r="E60" s="162"/>
      <c r="F60" s="162"/>
      <c r="G60" s="162"/>
      <c r="H60" s="162"/>
      <c r="I60" s="162"/>
      <c r="J60" s="162"/>
      <c r="K60" s="162"/>
      <c r="L60" s="162"/>
      <c r="M60" s="162"/>
      <c r="N60" s="162"/>
    </row>
    <row r="61" spans="4:14" ht="14">
      <c r="D61" s="162"/>
      <c r="E61" s="162"/>
      <c r="F61" s="162"/>
      <c r="G61" s="162"/>
      <c r="H61" s="162"/>
      <c r="I61" s="162"/>
      <c r="J61" s="162"/>
      <c r="K61" s="162"/>
      <c r="L61" s="162"/>
      <c r="M61" s="162"/>
      <c r="N61" s="162"/>
    </row>
    <row r="62" spans="4:14" ht="14">
      <c r="D62" s="162"/>
      <c r="E62" s="162"/>
      <c r="F62" s="162"/>
      <c r="G62" s="162"/>
      <c r="H62" s="162"/>
      <c r="I62" s="162"/>
      <c r="J62" s="162"/>
      <c r="K62" s="162"/>
      <c r="L62" s="162"/>
      <c r="M62" s="162"/>
      <c r="N62" s="162"/>
    </row>
    <row r="63" spans="4:14" ht="14">
      <c r="D63" s="162"/>
      <c r="E63" s="162"/>
      <c r="F63" s="162"/>
      <c r="G63" s="162"/>
      <c r="H63" s="162"/>
      <c r="I63" s="162"/>
      <c r="J63" s="162"/>
      <c r="K63" s="162"/>
      <c r="L63" s="162"/>
      <c r="M63" s="162"/>
      <c r="N63" s="162"/>
    </row>
    <row r="64" spans="4:14" ht="14">
      <c r="D64" s="162"/>
      <c r="E64" s="162"/>
      <c r="F64" s="162"/>
      <c r="G64" s="162"/>
      <c r="H64" s="162"/>
      <c r="I64" s="162"/>
      <c r="J64" s="162"/>
      <c r="K64" s="162"/>
      <c r="L64" s="162"/>
      <c r="M64" s="162"/>
      <c r="N64" s="162"/>
    </row>
    <row r="65" spans="4:14" ht="14">
      <c r="D65" s="162"/>
      <c r="E65" s="162"/>
      <c r="F65" s="162"/>
      <c r="G65" s="162"/>
      <c r="H65" s="162"/>
      <c r="I65" s="162"/>
      <c r="J65" s="162"/>
      <c r="K65" s="162"/>
      <c r="L65" s="162"/>
      <c r="M65" s="162"/>
      <c r="N65" s="162"/>
    </row>
    <row r="66" spans="4:14" ht="14">
      <c r="D66" s="162"/>
      <c r="E66" s="162"/>
      <c r="F66" s="162"/>
      <c r="G66" s="162"/>
      <c r="H66" s="162"/>
      <c r="I66" s="162"/>
      <c r="J66" s="162"/>
      <c r="K66" s="162"/>
      <c r="L66" s="162"/>
      <c r="M66" s="162"/>
      <c r="N66" s="162"/>
    </row>
    <row r="67" spans="4:14" ht="14">
      <c r="D67" s="162"/>
      <c r="E67" s="162"/>
      <c r="F67" s="162"/>
      <c r="G67" s="162"/>
      <c r="H67" s="162"/>
      <c r="I67" s="162"/>
      <c r="J67" s="162"/>
      <c r="K67" s="162"/>
      <c r="L67" s="162"/>
      <c r="M67" s="162"/>
      <c r="N67" s="162"/>
    </row>
    <row r="68" spans="4:14" ht="14">
      <c r="D68" s="162"/>
      <c r="E68" s="162"/>
      <c r="F68" s="162"/>
      <c r="G68" s="162"/>
      <c r="H68" s="162"/>
      <c r="I68" s="162"/>
      <c r="J68" s="162"/>
      <c r="K68" s="162"/>
      <c r="L68" s="162"/>
      <c r="M68" s="162"/>
      <c r="N68" s="162"/>
    </row>
    <row r="69" spans="4:14" ht="14">
      <c r="D69" s="162"/>
      <c r="E69" s="162"/>
      <c r="F69" s="162"/>
      <c r="G69" s="162"/>
      <c r="H69" s="162"/>
      <c r="I69" s="162"/>
      <c r="J69" s="162"/>
      <c r="K69" s="162"/>
      <c r="L69" s="162"/>
      <c r="M69" s="162"/>
      <c r="N69" s="162"/>
    </row>
    <row r="70" spans="4:14" ht="14">
      <c r="D70" s="162"/>
      <c r="E70" s="162"/>
      <c r="F70" s="162"/>
      <c r="G70" s="162"/>
      <c r="H70" s="162"/>
      <c r="I70" s="162"/>
      <c r="J70" s="162"/>
      <c r="K70" s="162"/>
      <c r="L70" s="162"/>
      <c r="M70" s="162"/>
      <c r="N70" s="162"/>
    </row>
    <row r="71" spans="4:14" ht="14">
      <c r="D71" s="162"/>
      <c r="E71" s="162"/>
      <c r="F71" s="162"/>
      <c r="G71" s="162"/>
      <c r="H71" s="162"/>
      <c r="I71" s="162"/>
      <c r="J71" s="162"/>
      <c r="K71" s="162"/>
      <c r="L71" s="162"/>
      <c r="M71" s="162"/>
      <c r="N71" s="162"/>
    </row>
    <row r="72" spans="4:14" ht="14">
      <c r="D72" s="162"/>
      <c r="E72" s="162"/>
      <c r="F72" s="162"/>
      <c r="G72" s="162"/>
      <c r="H72" s="162"/>
      <c r="I72" s="162"/>
      <c r="J72" s="162"/>
      <c r="K72" s="162"/>
      <c r="L72" s="162"/>
      <c r="M72" s="162"/>
      <c r="N72" s="162"/>
    </row>
    <row r="73" spans="4:14" ht="14">
      <c r="D73" s="162"/>
      <c r="E73" s="162"/>
      <c r="F73" s="162"/>
      <c r="G73" s="162"/>
      <c r="H73" s="162"/>
      <c r="I73" s="162"/>
      <c r="J73" s="162"/>
      <c r="K73" s="162"/>
      <c r="L73" s="162"/>
      <c r="M73" s="162"/>
      <c r="N73" s="162"/>
    </row>
    <row r="74" spans="4:14" ht="14">
      <c r="D74" s="162"/>
      <c r="E74" s="162"/>
      <c r="F74" s="162"/>
      <c r="G74" s="162"/>
      <c r="H74" s="162"/>
      <c r="I74" s="162"/>
      <c r="J74" s="162"/>
      <c r="K74" s="162"/>
      <c r="L74" s="162"/>
      <c r="M74" s="162"/>
      <c r="N74" s="162"/>
    </row>
    <row r="75" spans="4:14" ht="14">
      <c r="D75" s="162"/>
      <c r="E75" s="162"/>
      <c r="F75" s="162"/>
      <c r="G75" s="162"/>
      <c r="H75" s="162"/>
      <c r="I75" s="162"/>
      <c r="J75" s="162"/>
      <c r="K75" s="162"/>
      <c r="L75" s="162"/>
      <c r="M75" s="162"/>
      <c r="N75" s="162"/>
    </row>
    <row r="76" spans="4:14" ht="14">
      <c r="D76" s="162"/>
      <c r="E76" s="162"/>
      <c r="F76" s="162"/>
      <c r="G76" s="162"/>
      <c r="H76" s="162"/>
      <c r="I76" s="162"/>
      <c r="J76" s="162"/>
      <c r="K76" s="162"/>
      <c r="L76" s="162"/>
      <c r="M76" s="162"/>
      <c r="N76" s="162"/>
    </row>
    <row r="77" spans="4:14" ht="14">
      <c r="D77" s="162"/>
      <c r="E77" s="162"/>
      <c r="F77" s="162"/>
      <c r="G77" s="162"/>
      <c r="H77" s="162"/>
      <c r="I77" s="162"/>
      <c r="J77" s="162"/>
      <c r="K77" s="162"/>
      <c r="L77" s="162"/>
      <c r="M77" s="162"/>
      <c r="N77" s="162"/>
    </row>
    <row r="78" spans="4:14" ht="14">
      <c r="D78" s="162"/>
      <c r="E78" s="162"/>
      <c r="F78" s="162"/>
      <c r="G78" s="162"/>
      <c r="H78" s="162"/>
      <c r="I78" s="162"/>
      <c r="J78" s="162"/>
      <c r="K78" s="162"/>
      <c r="L78" s="162"/>
      <c r="M78" s="162"/>
      <c r="N78" s="162"/>
    </row>
    <row r="79" spans="4:14" ht="14">
      <c r="D79" s="162"/>
      <c r="E79" s="162"/>
      <c r="F79" s="162"/>
      <c r="G79" s="162"/>
      <c r="H79" s="162"/>
      <c r="I79" s="162"/>
      <c r="J79" s="162"/>
      <c r="K79" s="162"/>
      <c r="L79" s="162"/>
      <c r="M79" s="162"/>
      <c r="N79" s="162"/>
    </row>
    <row r="80" spans="4:14" ht="14">
      <c r="D80" s="162"/>
      <c r="E80" s="162"/>
      <c r="F80" s="162"/>
      <c r="G80" s="162"/>
      <c r="H80" s="162"/>
      <c r="I80" s="162"/>
      <c r="J80" s="162"/>
      <c r="K80" s="162"/>
      <c r="L80" s="162"/>
      <c r="M80" s="162"/>
      <c r="N80" s="162"/>
    </row>
    <row r="81" spans="4:14" ht="14">
      <c r="D81" s="162"/>
      <c r="E81" s="162"/>
      <c r="F81" s="162"/>
      <c r="G81" s="162"/>
      <c r="H81" s="162"/>
      <c r="I81" s="162"/>
      <c r="J81" s="162"/>
      <c r="K81" s="162"/>
      <c r="L81" s="162"/>
      <c r="M81" s="162"/>
      <c r="N81" s="162"/>
    </row>
    <row r="82" spans="4:14" ht="14">
      <c r="D82" s="162"/>
      <c r="E82" s="162"/>
      <c r="F82" s="162"/>
      <c r="G82" s="162"/>
      <c r="H82" s="162"/>
      <c r="I82" s="162"/>
      <c r="J82" s="162"/>
      <c r="K82" s="162"/>
      <c r="L82" s="162"/>
      <c r="M82" s="162"/>
      <c r="N82" s="162"/>
    </row>
    <row r="83" spans="4:14" ht="14">
      <c r="D83" s="162"/>
      <c r="E83" s="162"/>
      <c r="F83" s="162"/>
      <c r="G83" s="162"/>
      <c r="H83" s="162"/>
      <c r="I83" s="162"/>
      <c r="J83" s="162"/>
      <c r="K83" s="162"/>
      <c r="L83" s="162"/>
      <c r="M83" s="162"/>
      <c r="N83" s="162"/>
    </row>
    <row r="84" spans="4:14" ht="14">
      <c r="D84" s="162"/>
      <c r="E84" s="162"/>
      <c r="F84" s="162"/>
      <c r="G84" s="162"/>
      <c r="H84" s="162"/>
      <c r="I84" s="162"/>
      <c r="J84" s="162"/>
      <c r="K84" s="162"/>
      <c r="L84" s="162"/>
      <c r="M84" s="162"/>
      <c r="N84" s="162"/>
    </row>
    <row r="85" spans="4:14" ht="14">
      <c r="D85" s="162"/>
      <c r="E85" s="162"/>
      <c r="F85" s="162"/>
      <c r="G85" s="162"/>
      <c r="H85" s="162"/>
      <c r="I85" s="162"/>
      <c r="J85" s="162"/>
      <c r="K85" s="162"/>
      <c r="L85" s="162"/>
      <c r="M85" s="162"/>
      <c r="N85" s="162"/>
    </row>
    <row r="86" spans="4:14" ht="14">
      <c r="D86" s="162"/>
      <c r="E86" s="162"/>
      <c r="F86" s="162"/>
      <c r="G86" s="162"/>
      <c r="H86" s="162"/>
      <c r="I86" s="162"/>
      <c r="J86" s="162"/>
      <c r="K86" s="162"/>
      <c r="L86" s="162"/>
      <c r="M86" s="162"/>
      <c r="N86" s="162"/>
    </row>
    <row r="87" spans="4:14" ht="14">
      <c r="D87" s="162"/>
      <c r="E87" s="162"/>
      <c r="F87" s="162"/>
      <c r="G87" s="162"/>
      <c r="H87" s="162"/>
      <c r="I87" s="162"/>
      <c r="J87" s="162"/>
      <c r="K87" s="162"/>
      <c r="L87" s="162"/>
      <c r="M87" s="162"/>
      <c r="N87" s="162"/>
    </row>
    <row r="88" spans="4:14" ht="14">
      <c r="D88" s="162"/>
      <c r="E88" s="162"/>
      <c r="F88" s="162"/>
      <c r="G88" s="162"/>
      <c r="H88" s="162"/>
      <c r="I88" s="162"/>
      <c r="J88" s="162"/>
      <c r="K88" s="162"/>
      <c r="L88" s="162"/>
      <c r="M88" s="162"/>
      <c r="N88" s="162"/>
    </row>
    <row r="89" spans="4:14" ht="14">
      <c r="D89" s="162"/>
      <c r="E89" s="162"/>
      <c r="F89" s="162"/>
      <c r="G89" s="162"/>
      <c r="H89" s="162"/>
      <c r="I89" s="162"/>
      <c r="J89" s="162"/>
      <c r="K89" s="162"/>
      <c r="L89" s="162"/>
      <c r="M89" s="162"/>
      <c r="N89" s="162"/>
    </row>
    <row r="90" spans="4:14" ht="14">
      <c r="D90" s="162"/>
      <c r="E90" s="162"/>
      <c r="F90" s="162"/>
      <c r="G90" s="162"/>
      <c r="H90" s="162"/>
      <c r="I90" s="162"/>
      <c r="J90" s="162"/>
      <c r="K90" s="162"/>
      <c r="L90" s="162"/>
      <c r="M90" s="162"/>
      <c r="N90" s="162"/>
    </row>
    <row r="91" spans="4:14" ht="14">
      <c r="D91" s="162"/>
      <c r="E91" s="162"/>
      <c r="F91" s="162"/>
      <c r="G91" s="162"/>
      <c r="H91" s="162"/>
      <c r="I91" s="162"/>
      <c r="J91" s="162"/>
      <c r="K91" s="162"/>
      <c r="L91" s="162"/>
      <c r="M91" s="162"/>
      <c r="N91" s="162"/>
    </row>
    <row r="92" spans="4:14" ht="14">
      <c r="D92" s="162"/>
      <c r="E92" s="162"/>
      <c r="F92" s="162"/>
      <c r="G92" s="162"/>
      <c r="H92" s="162"/>
      <c r="I92" s="162"/>
      <c r="J92" s="162"/>
      <c r="K92" s="162"/>
      <c r="L92" s="162"/>
      <c r="M92" s="162"/>
      <c r="N92" s="162"/>
    </row>
    <row r="93" spans="4:14" ht="14">
      <c r="D93" s="162"/>
      <c r="E93" s="162"/>
      <c r="F93" s="162"/>
      <c r="G93" s="162"/>
      <c r="H93" s="162"/>
      <c r="I93" s="162"/>
      <c r="J93" s="162"/>
      <c r="K93" s="162"/>
      <c r="L93" s="162"/>
      <c r="M93" s="162"/>
      <c r="N93" s="162"/>
    </row>
    <row r="94" spans="4:14" ht="14">
      <c r="D94" s="162"/>
      <c r="E94" s="162"/>
      <c r="F94" s="162"/>
      <c r="G94" s="162"/>
      <c r="H94" s="162"/>
      <c r="I94" s="162"/>
      <c r="J94" s="162"/>
      <c r="K94" s="162"/>
      <c r="L94" s="162"/>
      <c r="M94" s="162"/>
      <c r="N94" s="162"/>
    </row>
    <row r="95" spans="4:14" ht="14">
      <c r="D95" s="162"/>
      <c r="E95" s="162"/>
      <c r="F95" s="162"/>
      <c r="G95" s="162"/>
      <c r="H95" s="162"/>
      <c r="I95" s="162"/>
      <c r="J95" s="162"/>
      <c r="K95" s="162"/>
      <c r="L95" s="162"/>
      <c r="M95" s="162"/>
      <c r="N95" s="162"/>
    </row>
    <row r="96" spans="4:14" ht="14">
      <c r="D96" s="162"/>
      <c r="E96" s="162"/>
      <c r="F96" s="162"/>
      <c r="G96" s="162"/>
      <c r="H96" s="162"/>
      <c r="I96" s="162"/>
      <c r="J96" s="162"/>
      <c r="K96" s="162"/>
      <c r="L96" s="162"/>
      <c r="M96" s="162"/>
      <c r="N96" s="162"/>
    </row>
    <row r="97" spans="4:14" ht="14">
      <c r="D97" s="162"/>
      <c r="E97" s="162"/>
      <c r="F97" s="162"/>
      <c r="G97" s="162"/>
      <c r="H97" s="162"/>
      <c r="I97" s="162"/>
      <c r="J97" s="162"/>
      <c r="K97" s="162"/>
      <c r="L97" s="162"/>
      <c r="M97" s="162"/>
      <c r="N97" s="162"/>
    </row>
    <row r="98" spans="4:14" ht="14">
      <c r="D98" s="162"/>
      <c r="E98" s="162"/>
      <c r="F98" s="162"/>
      <c r="G98" s="162"/>
      <c r="H98" s="162"/>
      <c r="I98" s="162"/>
      <c r="J98" s="162"/>
      <c r="K98" s="162"/>
      <c r="L98" s="162"/>
      <c r="M98" s="162"/>
      <c r="N98" s="162"/>
    </row>
    <row r="99" spans="4:14" ht="14">
      <c r="D99" s="162"/>
      <c r="E99" s="162"/>
      <c r="F99" s="162"/>
      <c r="G99" s="162"/>
      <c r="H99" s="162"/>
      <c r="I99" s="162"/>
      <c r="J99" s="162"/>
      <c r="K99" s="162"/>
      <c r="L99" s="162"/>
      <c r="M99" s="162"/>
      <c r="N99" s="162"/>
    </row>
    <row r="100" spans="4:14" ht="14">
      <c r="D100" s="162"/>
      <c r="E100" s="162"/>
      <c r="F100" s="162"/>
      <c r="G100" s="162"/>
      <c r="H100" s="162"/>
      <c r="I100" s="162"/>
      <c r="J100" s="162"/>
      <c r="K100" s="162"/>
      <c r="L100" s="162"/>
      <c r="M100" s="162"/>
      <c r="N100" s="162"/>
    </row>
    <row r="101" spans="4:14" ht="14">
      <c r="D101" s="162"/>
      <c r="E101" s="162"/>
      <c r="F101" s="162"/>
      <c r="G101" s="162"/>
      <c r="H101" s="162"/>
      <c r="I101" s="162"/>
      <c r="J101" s="162"/>
      <c r="K101" s="162"/>
      <c r="L101" s="162"/>
      <c r="M101" s="162"/>
      <c r="N101" s="162"/>
    </row>
    <row r="102" spans="4:14" ht="14">
      <c r="D102" s="162"/>
      <c r="E102" s="162"/>
      <c r="F102" s="162"/>
      <c r="G102" s="162"/>
      <c r="H102" s="162"/>
      <c r="I102" s="162"/>
      <c r="J102" s="162"/>
      <c r="K102" s="162"/>
      <c r="L102" s="162"/>
      <c r="M102" s="162"/>
      <c r="N102" s="162"/>
    </row>
    <row r="103" spans="4:14" ht="14">
      <c r="D103" s="162"/>
      <c r="E103" s="162"/>
      <c r="F103" s="162"/>
      <c r="G103" s="162"/>
      <c r="H103" s="162"/>
      <c r="I103" s="162"/>
      <c r="J103" s="162"/>
      <c r="K103" s="162"/>
      <c r="L103" s="162"/>
      <c r="M103" s="162"/>
      <c r="N103" s="162"/>
    </row>
    <row r="104" spans="4:14" ht="14">
      <c r="D104" s="162"/>
      <c r="E104" s="162"/>
      <c r="F104" s="162"/>
      <c r="G104" s="162"/>
      <c r="H104" s="162"/>
      <c r="I104" s="162"/>
      <c r="J104" s="162"/>
      <c r="K104" s="162"/>
      <c r="L104" s="162"/>
      <c r="M104" s="162"/>
      <c r="N104" s="162"/>
    </row>
    <row r="105" spans="4:14" ht="14">
      <c r="D105" s="162"/>
      <c r="E105" s="162"/>
      <c r="F105" s="162"/>
      <c r="G105" s="162"/>
      <c r="H105" s="162"/>
      <c r="I105" s="162"/>
      <c r="J105" s="162"/>
      <c r="K105" s="162"/>
      <c r="L105" s="162"/>
      <c r="M105" s="162"/>
      <c r="N105" s="162"/>
    </row>
    <row r="106" spans="4:14" ht="14">
      <c r="D106" s="162"/>
      <c r="E106" s="162"/>
      <c r="F106" s="162"/>
      <c r="G106" s="162"/>
      <c r="H106" s="162"/>
      <c r="I106" s="162"/>
      <c r="J106" s="162"/>
      <c r="K106" s="162"/>
      <c r="L106" s="162"/>
      <c r="M106" s="162"/>
      <c r="N106" s="162"/>
    </row>
    <row r="107" spans="4:14" ht="14">
      <c r="D107" s="162"/>
      <c r="E107" s="162"/>
      <c r="F107" s="162"/>
      <c r="G107" s="162"/>
      <c r="H107" s="162"/>
      <c r="I107" s="162"/>
      <c r="J107" s="162"/>
      <c r="K107" s="162"/>
      <c r="L107" s="162"/>
      <c r="M107" s="162"/>
      <c r="N107" s="162"/>
    </row>
    <row r="108" spans="4:14" ht="14">
      <c r="D108" s="162"/>
      <c r="E108" s="162"/>
      <c r="F108" s="162"/>
      <c r="G108" s="162"/>
      <c r="H108" s="162"/>
      <c r="I108" s="162"/>
      <c r="J108" s="162"/>
      <c r="K108" s="162"/>
      <c r="L108" s="162"/>
      <c r="M108" s="162"/>
      <c r="N108" s="162"/>
    </row>
    <row r="109" spans="4:14" ht="14">
      <c r="D109" s="162"/>
      <c r="E109" s="162"/>
      <c r="F109" s="162"/>
      <c r="G109" s="162"/>
      <c r="H109" s="162"/>
      <c r="I109" s="162"/>
      <c r="J109" s="162"/>
      <c r="K109" s="162"/>
      <c r="L109" s="162"/>
      <c r="M109" s="162"/>
      <c r="N109" s="162"/>
    </row>
    <row r="110" spans="4:14" ht="14">
      <c r="D110" s="162"/>
      <c r="E110" s="162"/>
      <c r="F110" s="162"/>
      <c r="G110" s="162"/>
      <c r="H110" s="162"/>
      <c r="I110" s="162"/>
      <c r="J110" s="162"/>
      <c r="K110" s="162"/>
      <c r="L110" s="162"/>
      <c r="M110" s="162"/>
      <c r="N110" s="162"/>
    </row>
    <row r="111" spans="4:14" ht="14">
      <c r="D111" s="162"/>
      <c r="E111" s="162"/>
      <c r="F111" s="162"/>
      <c r="G111" s="162"/>
      <c r="H111" s="162"/>
      <c r="I111" s="162"/>
      <c r="J111" s="162"/>
      <c r="K111" s="162"/>
      <c r="L111" s="162"/>
      <c r="M111" s="162"/>
      <c r="N111" s="162"/>
    </row>
    <row r="112" spans="4:14" ht="14">
      <c r="D112" s="162"/>
      <c r="E112" s="162"/>
      <c r="F112" s="162"/>
      <c r="G112" s="162"/>
      <c r="H112" s="162"/>
      <c r="I112" s="162"/>
      <c r="J112" s="162"/>
      <c r="K112" s="162"/>
      <c r="L112" s="162"/>
      <c r="M112" s="162"/>
      <c r="N112" s="162"/>
    </row>
    <row r="113" spans="4:14" ht="14">
      <c r="D113" s="162"/>
      <c r="E113" s="162"/>
      <c r="F113" s="162"/>
      <c r="G113" s="162"/>
      <c r="H113" s="162"/>
      <c r="I113" s="162"/>
      <c r="J113" s="162"/>
      <c r="K113" s="162"/>
      <c r="L113" s="162"/>
      <c r="M113" s="162"/>
      <c r="N113" s="162"/>
    </row>
    <row r="114" spans="4:14" ht="14">
      <c r="D114" s="162"/>
      <c r="E114" s="162"/>
      <c r="F114" s="162"/>
      <c r="G114" s="162"/>
      <c r="H114" s="162"/>
      <c r="I114" s="162"/>
      <c r="J114" s="162"/>
      <c r="K114" s="162"/>
      <c r="L114" s="162"/>
      <c r="M114" s="162"/>
      <c r="N114" s="162"/>
    </row>
    <row r="115" spans="4:14" ht="14">
      <c r="D115" s="162"/>
      <c r="E115" s="162"/>
      <c r="F115" s="162"/>
      <c r="G115" s="162"/>
      <c r="H115" s="162"/>
      <c r="I115" s="162"/>
      <c r="J115" s="162"/>
      <c r="K115" s="162"/>
      <c r="L115" s="162"/>
      <c r="M115" s="162"/>
      <c r="N115" s="162"/>
    </row>
    <row r="116" spans="4:14" ht="14">
      <c r="D116" s="162"/>
      <c r="E116" s="162"/>
      <c r="F116" s="162"/>
      <c r="G116" s="162"/>
      <c r="H116" s="162"/>
      <c r="I116" s="162"/>
      <c r="J116" s="162"/>
      <c r="K116" s="162"/>
      <c r="L116" s="162"/>
      <c r="M116" s="162"/>
      <c r="N116" s="162"/>
    </row>
    <row r="117" spans="4:14" ht="14">
      <c r="D117" s="162"/>
      <c r="E117" s="162"/>
      <c r="F117" s="162"/>
      <c r="G117" s="162"/>
      <c r="H117" s="162"/>
      <c r="I117" s="162"/>
      <c r="J117" s="162"/>
      <c r="K117" s="162"/>
      <c r="L117" s="162"/>
      <c r="M117" s="162"/>
      <c r="N117" s="162"/>
    </row>
    <row r="118" spans="4:14" ht="14">
      <c r="D118" s="162"/>
      <c r="E118" s="162"/>
      <c r="F118" s="162"/>
      <c r="G118" s="162"/>
      <c r="H118" s="162"/>
      <c r="I118" s="162"/>
      <c r="J118" s="162"/>
      <c r="K118" s="162"/>
      <c r="L118" s="162"/>
      <c r="M118" s="162"/>
      <c r="N118" s="162"/>
    </row>
    <row r="119" spans="4:14" ht="14">
      <c r="D119" s="162"/>
      <c r="E119" s="162"/>
      <c r="F119" s="162"/>
      <c r="G119" s="162"/>
      <c r="H119" s="162"/>
      <c r="I119" s="162"/>
      <c r="J119" s="162"/>
      <c r="K119" s="162"/>
      <c r="L119" s="162"/>
      <c r="M119" s="162"/>
      <c r="N119" s="162"/>
    </row>
    <row r="120" spans="4:14" ht="14">
      <c r="D120" s="162"/>
      <c r="E120" s="162"/>
      <c r="F120" s="162"/>
      <c r="G120" s="162"/>
      <c r="H120" s="162"/>
      <c r="I120" s="162"/>
      <c r="J120" s="162"/>
      <c r="K120" s="162"/>
      <c r="L120" s="162"/>
      <c r="M120" s="162"/>
      <c r="N120" s="162"/>
    </row>
    <row r="121" spans="4:14" ht="14">
      <c r="D121" s="162"/>
      <c r="E121" s="162"/>
      <c r="F121" s="162"/>
      <c r="G121" s="162"/>
      <c r="H121" s="162"/>
      <c r="I121" s="162"/>
      <c r="J121" s="162"/>
      <c r="K121" s="162"/>
      <c r="L121" s="162"/>
      <c r="M121" s="162"/>
      <c r="N121" s="162"/>
    </row>
    <row r="122" spans="4:14" ht="14">
      <c r="D122" s="162"/>
      <c r="E122" s="162"/>
      <c r="F122" s="162"/>
      <c r="G122" s="162"/>
      <c r="H122" s="162"/>
      <c r="I122" s="162"/>
      <c r="J122" s="162"/>
      <c r="K122" s="162"/>
      <c r="L122" s="162"/>
      <c r="M122" s="162"/>
      <c r="N122" s="162"/>
    </row>
    <row r="123" spans="4:14" ht="14">
      <c r="D123" s="162"/>
      <c r="E123" s="162"/>
      <c r="F123" s="162"/>
      <c r="G123" s="162"/>
      <c r="H123" s="162"/>
      <c r="I123" s="162"/>
      <c r="J123" s="162"/>
      <c r="K123" s="162"/>
      <c r="L123" s="162"/>
      <c r="M123" s="162"/>
      <c r="N123" s="162"/>
    </row>
    <row r="124" spans="4:14" ht="14">
      <c r="D124" s="162"/>
      <c r="E124" s="162"/>
      <c r="F124" s="162"/>
      <c r="G124" s="162"/>
      <c r="H124" s="162"/>
      <c r="I124" s="162"/>
      <c r="J124" s="162"/>
      <c r="K124" s="162"/>
      <c r="L124" s="162"/>
      <c r="M124" s="162"/>
      <c r="N124" s="162"/>
    </row>
    <row r="125" spans="4:14" ht="14">
      <c r="D125" s="162"/>
      <c r="E125" s="162"/>
      <c r="F125" s="162"/>
      <c r="G125" s="162"/>
      <c r="H125" s="162"/>
      <c r="I125" s="162"/>
      <c r="J125" s="162"/>
      <c r="K125" s="162"/>
      <c r="L125" s="162"/>
      <c r="M125" s="162"/>
      <c r="N125" s="162"/>
    </row>
    <row r="126" spans="4:14" ht="14">
      <c r="D126" s="162"/>
      <c r="E126" s="162"/>
      <c r="F126" s="162"/>
      <c r="G126" s="162"/>
      <c r="H126" s="162"/>
      <c r="I126" s="162"/>
      <c r="J126" s="162"/>
      <c r="K126" s="162"/>
      <c r="L126" s="162"/>
      <c r="M126" s="162"/>
      <c r="N126" s="162"/>
    </row>
    <row r="127" spans="4:14" ht="14">
      <c r="D127" s="162"/>
      <c r="E127" s="162"/>
      <c r="F127" s="162"/>
      <c r="G127" s="162"/>
      <c r="H127" s="162"/>
      <c r="I127" s="162"/>
      <c r="J127" s="162"/>
      <c r="K127" s="162"/>
      <c r="L127" s="162"/>
      <c r="M127" s="162"/>
      <c r="N127" s="162"/>
    </row>
    <row r="128" spans="4:14" ht="14">
      <c r="D128" s="162"/>
      <c r="E128" s="162"/>
      <c r="F128" s="162"/>
      <c r="G128" s="162"/>
      <c r="H128" s="162"/>
      <c r="I128" s="162"/>
      <c r="J128" s="162"/>
      <c r="K128" s="162"/>
      <c r="L128" s="162"/>
      <c r="M128" s="162"/>
      <c r="N128" s="162"/>
    </row>
    <row r="129" spans="4:14" ht="14">
      <c r="D129" s="162"/>
      <c r="E129" s="162"/>
      <c r="F129" s="162"/>
      <c r="G129" s="162"/>
      <c r="H129" s="162"/>
      <c r="I129" s="162"/>
      <c r="J129" s="162"/>
      <c r="K129" s="162"/>
      <c r="L129" s="162"/>
      <c r="M129" s="162"/>
      <c r="N129" s="162"/>
    </row>
    <row r="130" spans="4:14" ht="14">
      <c r="D130" s="162"/>
      <c r="E130" s="162"/>
      <c r="F130" s="162"/>
      <c r="G130" s="162"/>
      <c r="H130" s="162"/>
      <c r="I130" s="162"/>
      <c r="J130" s="162"/>
      <c r="K130" s="162"/>
      <c r="L130" s="162"/>
      <c r="M130" s="162"/>
      <c r="N130" s="162"/>
    </row>
    <row r="131" spans="4:14" ht="14">
      <c r="D131" s="162"/>
      <c r="E131" s="162"/>
      <c r="F131" s="162"/>
      <c r="G131" s="162"/>
      <c r="H131" s="162"/>
      <c r="I131" s="162"/>
      <c r="J131" s="162"/>
      <c r="K131" s="162"/>
      <c r="L131" s="162"/>
      <c r="M131" s="162"/>
      <c r="N131" s="162"/>
    </row>
    <row r="132" spans="4:14" ht="14">
      <c r="D132" s="162"/>
      <c r="E132" s="162"/>
      <c r="F132" s="162"/>
      <c r="G132" s="162"/>
      <c r="H132" s="162"/>
      <c r="I132" s="162"/>
      <c r="J132" s="162"/>
      <c r="K132" s="162"/>
      <c r="L132" s="162"/>
      <c r="M132" s="162"/>
      <c r="N132" s="162"/>
    </row>
    <row r="133" spans="4:14" ht="14">
      <c r="D133" s="162"/>
      <c r="E133" s="162"/>
      <c r="F133" s="162"/>
      <c r="G133" s="162"/>
      <c r="H133" s="162"/>
      <c r="I133" s="162"/>
      <c r="J133" s="162"/>
      <c r="K133" s="162"/>
      <c r="L133" s="162"/>
      <c r="M133" s="162"/>
      <c r="N133" s="162"/>
    </row>
    <row r="134" spans="4:14" ht="14">
      <c r="D134" s="162"/>
      <c r="E134" s="162"/>
      <c r="F134" s="162"/>
      <c r="G134" s="162"/>
      <c r="H134" s="162"/>
      <c r="I134" s="162"/>
      <c r="J134" s="162"/>
      <c r="K134" s="162"/>
      <c r="L134" s="162"/>
      <c r="M134" s="162"/>
      <c r="N134" s="162"/>
    </row>
    <row r="135" spans="4:14" ht="14">
      <c r="D135" s="162"/>
      <c r="E135" s="162"/>
      <c r="F135" s="162"/>
      <c r="G135" s="162"/>
      <c r="H135" s="162"/>
      <c r="I135" s="162"/>
      <c r="J135" s="162"/>
      <c r="K135" s="162"/>
      <c r="L135" s="162"/>
      <c r="M135" s="162"/>
      <c r="N135" s="162"/>
    </row>
    <row r="136" spans="4:14" ht="14">
      <c r="D136" s="162"/>
      <c r="E136" s="162"/>
      <c r="F136" s="162"/>
      <c r="G136" s="162"/>
      <c r="H136" s="162"/>
      <c r="I136" s="162"/>
      <c r="J136" s="162"/>
      <c r="K136" s="162"/>
      <c r="L136" s="162"/>
      <c r="M136" s="162"/>
      <c r="N136" s="162"/>
    </row>
    <row r="137" spans="4:14" ht="14">
      <c r="D137" s="162"/>
      <c r="E137" s="162"/>
      <c r="F137" s="162"/>
      <c r="G137" s="162"/>
      <c r="H137" s="162"/>
      <c r="I137" s="162"/>
      <c r="J137" s="162"/>
      <c r="K137" s="162"/>
      <c r="L137" s="162"/>
      <c r="M137" s="162"/>
      <c r="N137" s="162"/>
    </row>
    <row r="138" spans="4:14" ht="14">
      <c r="D138" s="162"/>
      <c r="E138" s="162"/>
      <c r="F138" s="162"/>
      <c r="G138" s="162"/>
      <c r="H138" s="162"/>
      <c r="I138" s="162"/>
      <c r="J138" s="162"/>
      <c r="K138" s="162"/>
      <c r="L138" s="162"/>
      <c r="M138" s="162"/>
      <c r="N138" s="162"/>
    </row>
    <row r="139" spans="4:14" ht="14">
      <c r="D139" s="162"/>
      <c r="E139" s="162"/>
      <c r="F139" s="162"/>
      <c r="G139" s="162"/>
      <c r="H139" s="162"/>
      <c r="I139" s="162"/>
      <c r="J139" s="162"/>
      <c r="K139" s="162"/>
      <c r="L139" s="162"/>
      <c r="M139" s="162"/>
      <c r="N139" s="162"/>
    </row>
    <row r="140" spans="4:14" ht="14">
      <c r="D140" s="162"/>
      <c r="E140" s="162"/>
      <c r="F140" s="162"/>
      <c r="G140" s="162"/>
      <c r="H140" s="162"/>
      <c r="I140" s="162"/>
      <c r="J140" s="162"/>
      <c r="K140" s="162"/>
      <c r="L140" s="162"/>
      <c r="M140" s="162"/>
      <c r="N140" s="162"/>
    </row>
    <row r="141" spans="4:14" ht="14">
      <c r="D141" s="162"/>
      <c r="E141" s="162"/>
      <c r="F141" s="162"/>
      <c r="G141" s="162"/>
      <c r="H141" s="162"/>
      <c r="I141" s="162"/>
      <c r="J141" s="162"/>
      <c r="K141" s="162"/>
      <c r="L141" s="162"/>
      <c r="M141" s="162"/>
      <c r="N141" s="162"/>
    </row>
    <row r="142" spans="4:14" ht="14">
      <c r="D142" s="162"/>
      <c r="E142" s="162"/>
      <c r="F142" s="162"/>
      <c r="G142" s="162"/>
      <c r="H142" s="162"/>
      <c r="I142" s="162"/>
      <c r="J142" s="162"/>
      <c r="K142" s="162"/>
      <c r="L142" s="162"/>
      <c r="M142" s="162"/>
      <c r="N142" s="162"/>
    </row>
    <row r="143" spans="4:14" ht="14">
      <c r="D143" s="162"/>
      <c r="E143" s="162"/>
      <c r="F143" s="162"/>
      <c r="G143" s="162"/>
      <c r="H143" s="162"/>
      <c r="I143" s="162"/>
      <c r="J143" s="162"/>
      <c r="K143" s="162"/>
      <c r="L143" s="162"/>
      <c r="M143" s="162"/>
      <c r="N143" s="162"/>
    </row>
    <row r="144" spans="4:14" ht="14">
      <c r="D144" s="162"/>
      <c r="E144" s="162"/>
      <c r="F144" s="162"/>
      <c r="G144" s="162"/>
      <c r="H144" s="162"/>
      <c r="I144" s="162"/>
      <c r="J144" s="162"/>
      <c r="K144" s="162"/>
      <c r="L144" s="162"/>
      <c r="M144" s="162"/>
      <c r="N144" s="162"/>
    </row>
    <row r="145" spans="4:14" ht="14">
      <c r="D145" s="162"/>
      <c r="E145" s="162"/>
      <c r="F145" s="162"/>
      <c r="G145" s="162"/>
      <c r="H145" s="162"/>
      <c r="I145" s="162"/>
      <c r="J145" s="162"/>
      <c r="K145" s="162"/>
      <c r="L145" s="162"/>
      <c r="M145" s="162"/>
      <c r="N145" s="162"/>
    </row>
    <row r="146" spans="4:14" ht="14">
      <c r="D146" s="162"/>
      <c r="E146" s="162"/>
      <c r="F146" s="162"/>
      <c r="G146" s="162"/>
      <c r="H146" s="162"/>
      <c r="I146" s="162"/>
      <c r="J146" s="162"/>
      <c r="K146" s="162"/>
      <c r="L146" s="162"/>
      <c r="M146" s="162"/>
      <c r="N146" s="162"/>
    </row>
    <row r="147" spans="4:14" ht="14">
      <c r="D147" s="162"/>
      <c r="E147" s="162"/>
      <c r="F147" s="162"/>
      <c r="G147" s="162"/>
      <c r="H147" s="162"/>
      <c r="I147" s="162"/>
      <c r="J147" s="162"/>
      <c r="K147" s="162"/>
      <c r="L147" s="162"/>
      <c r="M147" s="162"/>
      <c r="N147" s="162"/>
    </row>
    <row r="148" spans="4:14" ht="14">
      <c r="D148" s="162"/>
      <c r="E148" s="162"/>
      <c r="F148" s="162"/>
      <c r="G148" s="162"/>
      <c r="H148" s="162"/>
      <c r="I148" s="162"/>
      <c r="J148" s="162"/>
      <c r="K148" s="162"/>
      <c r="L148" s="162"/>
      <c r="M148" s="162"/>
      <c r="N148" s="162"/>
    </row>
    <row r="149" spans="4:14" ht="14">
      <c r="D149" s="162"/>
      <c r="E149" s="162"/>
      <c r="F149" s="162"/>
      <c r="G149" s="162"/>
      <c r="H149" s="162"/>
      <c r="I149" s="162"/>
      <c r="J149" s="162"/>
      <c r="K149" s="162"/>
      <c r="L149" s="162"/>
      <c r="M149" s="162"/>
      <c r="N149" s="162"/>
    </row>
    <row r="150" spans="4:14" ht="14">
      <c r="D150" s="162"/>
      <c r="E150" s="162"/>
      <c r="F150" s="162"/>
      <c r="G150" s="162"/>
      <c r="H150" s="162"/>
      <c r="I150" s="162"/>
      <c r="J150" s="162"/>
      <c r="K150" s="162"/>
      <c r="L150" s="162"/>
      <c r="M150" s="162"/>
      <c r="N150" s="162"/>
    </row>
    <row r="151" spans="4:14" ht="14">
      <c r="D151" s="162"/>
      <c r="E151" s="162"/>
      <c r="F151" s="162"/>
      <c r="G151" s="162"/>
      <c r="H151" s="162"/>
      <c r="I151" s="162"/>
      <c r="J151" s="162"/>
      <c r="K151" s="162"/>
      <c r="L151" s="162"/>
      <c r="M151" s="162"/>
      <c r="N151" s="162"/>
    </row>
    <row r="152" spans="4:14" ht="14">
      <c r="D152" s="162"/>
      <c r="E152" s="162"/>
      <c r="F152" s="162"/>
      <c r="G152" s="162"/>
      <c r="H152" s="162"/>
      <c r="I152" s="162"/>
      <c r="J152" s="162"/>
      <c r="K152" s="162"/>
      <c r="L152" s="162"/>
      <c r="M152" s="162"/>
      <c r="N152" s="162"/>
    </row>
    <row r="153" spans="4:14" ht="14">
      <c r="D153" s="162"/>
      <c r="E153" s="162"/>
      <c r="F153" s="162"/>
      <c r="G153" s="162"/>
      <c r="H153" s="162"/>
      <c r="I153" s="162"/>
      <c r="J153" s="162"/>
      <c r="K153" s="162"/>
      <c r="L153" s="162"/>
      <c r="M153" s="162"/>
      <c r="N153" s="162"/>
    </row>
    <row r="154" spans="4:14" ht="14">
      <c r="D154" s="162"/>
      <c r="E154" s="162"/>
      <c r="F154" s="162"/>
      <c r="G154" s="162"/>
      <c r="H154" s="162"/>
      <c r="I154" s="162"/>
      <c r="J154" s="162"/>
      <c r="K154" s="162"/>
      <c r="L154" s="162"/>
      <c r="M154" s="162"/>
      <c r="N154" s="162"/>
    </row>
    <row r="155" spans="4:14" ht="14">
      <c r="D155" s="162"/>
      <c r="E155" s="162"/>
      <c r="F155" s="162"/>
      <c r="G155" s="162"/>
      <c r="H155" s="162"/>
      <c r="I155" s="162"/>
      <c r="J155" s="162"/>
      <c r="K155" s="162"/>
      <c r="L155" s="162"/>
      <c r="M155" s="162"/>
      <c r="N155" s="162"/>
    </row>
    <row r="156" spans="4:14" ht="14">
      <c r="D156" s="162"/>
      <c r="E156" s="162"/>
      <c r="F156" s="162"/>
      <c r="G156" s="162"/>
      <c r="H156" s="162"/>
      <c r="I156" s="162"/>
      <c r="J156" s="162"/>
      <c r="K156" s="162"/>
      <c r="L156" s="162"/>
      <c r="M156" s="162"/>
      <c r="N156" s="162"/>
    </row>
    <row r="157" spans="4:14" ht="14">
      <c r="D157" s="162"/>
      <c r="E157" s="162"/>
      <c r="F157" s="162"/>
      <c r="G157" s="162"/>
      <c r="H157" s="162"/>
      <c r="I157" s="162"/>
      <c r="J157" s="162"/>
      <c r="K157" s="162"/>
      <c r="L157" s="162"/>
      <c r="M157" s="162"/>
      <c r="N157" s="162"/>
    </row>
    <row r="158" spans="4:14" ht="14">
      <c r="D158" s="162"/>
      <c r="E158" s="162"/>
      <c r="F158" s="162"/>
      <c r="G158" s="162"/>
      <c r="H158" s="162"/>
      <c r="I158" s="162"/>
      <c r="J158" s="162"/>
      <c r="K158" s="162"/>
      <c r="L158" s="162"/>
      <c r="M158" s="162"/>
      <c r="N158" s="162"/>
    </row>
    <row r="159" spans="4:14" ht="14">
      <c r="D159" s="162"/>
      <c r="E159" s="162"/>
      <c r="F159" s="162"/>
      <c r="G159" s="162"/>
      <c r="H159" s="162"/>
      <c r="I159" s="162"/>
      <c r="J159" s="162"/>
      <c r="K159" s="162"/>
      <c r="L159" s="162"/>
      <c r="M159" s="162"/>
      <c r="N159" s="162"/>
    </row>
    <row r="160" spans="4:14" ht="14">
      <c r="D160" s="162"/>
      <c r="E160" s="162"/>
      <c r="F160" s="162"/>
      <c r="G160" s="162"/>
      <c r="H160" s="162"/>
      <c r="I160" s="162"/>
      <c r="J160" s="162"/>
      <c r="K160" s="162"/>
      <c r="L160" s="162"/>
      <c r="M160" s="162"/>
      <c r="N160" s="162"/>
    </row>
    <row r="161" spans="4:14" ht="14">
      <c r="D161" s="162"/>
      <c r="E161" s="162"/>
      <c r="F161" s="162"/>
      <c r="G161" s="162"/>
      <c r="H161" s="162"/>
      <c r="I161" s="162"/>
      <c r="J161" s="162"/>
      <c r="K161" s="162"/>
      <c r="L161" s="162"/>
      <c r="M161" s="162"/>
      <c r="N161" s="162"/>
    </row>
    <row r="162" spans="4:14" ht="14">
      <c r="D162" s="162"/>
      <c r="E162" s="162"/>
      <c r="F162" s="162"/>
      <c r="G162" s="162"/>
      <c r="H162" s="162"/>
      <c r="I162" s="162"/>
      <c r="J162" s="162"/>
      <c r="K162" s="162"/>
      <c r="L162" s="162"/>
      <c r="M162" s="162"/>
      <c r="N162" s="162"/>
    </row>
    <row r="163" spans="4:14" ht="14">
      <c r="D163" s="162"/>
      <c r="E163" s="162"/>
      <c r="F163" s="162"/>
      <c r="G163" s="162"/>
      <c r="H163" s="162"/>
      <c r="I163" s="162"/>
      <c r="J163" s="162"/>
      <c r="K163" s="162"/>
      <c r="L163" s="162"/>
      <c r="M163" s="162"/>
      <c r="N163" s="162"/>
    </row>
    <row r="164" spans="4:14" ht="14">
      <c r="D164" s="162"/>
      <c r="E164" s="162"/>
      <c r="F164" s="162"/>
      <c r="G164" s="162"/>
      <c r="H164" s="162"/>
      <c r="I164" s="162"/>
      <c r="J164" s="162"/>
      <c r="K164" s="162"/>
      <c r="L164" s="162"/>
      <c r="M164" s="162"/>
      <c r="N164" s="162"/>
    </row>
    <row r="165" spans="4:14" ht="14">
      <c r="D165" s="162"/>
      <c r="E165" s="162"/>
      <c r="F165" s="162"/>
      <c r="G165" s="162"/>
      <c r="H165" s="162"/>
      <c r="I165" s="162"/>
      <c r="J165" s="162"/>
      <c r="K165" s="162"/>
      <c r="L165" s="162"/>
      <c r="M165" s="162"/>
      <c r="N165" s="162"/>
    </row>
    <row r="166" spans="4:14" ht="14">
      <c r="D166" s="162"/>
      <c r="E166" s="162"/>
      <c r="F166" s="162"/>
      <c r="G166" s="162"/>
      <c r="H166" s="162"/>
      <c r="I166" s="162"/>
      <c r="J166" s="162"/>
      <c r="K166" s="162"/>
      <c r="L166" s="162"/>
      <c r="M166" s="162"/>
      <c r="N166" s="162"/>
    </row>
    <row r="167" spans="4:14" ht="14">
      <c r="D167" s="162"/>
      <c r="E167" s="162"/>
      <c r="F167" s="162"/>
      <c r="G167" s="162"/>
      <c r="H167" s="162"/>
      <c r="I167" s="162"/>
      <c r="J167" s="162"/>
      <c r="K167" s="162"/>
      <c r="L167" s="162"/>
      <c r="M167" s="162"/>
      <c r="N167" s="162"/>
    </row>
    <row r="168" spans="4:14" ht="14">
      <c r="D168" s="162"/>
      <c r="E168" s="162"/>
      <c r="F168" s="162"/>
      <c r="G168" s="162"/>
      <c r="H168" s="162"/>
      <c r="I168" s="162"/>
      <c r="J168" s="162"/>
      <c r="K168" s="162"/>
      <c r="L168" s="162"/>
      <c r="M168" s="162"/>
      <c r="N168" s="162"/>
    </row>
    <row r="169" spans="4:14" ht="14">
      <c r="D169" s="162"/>
      <c r="E169" s="162"/>
      <c r="F169" s="162"/>
      <c r="G169" s="162"/>
      <c r="H169" s="162"/>
      <c r="I169" s="162"/>
      <c r="J169" s="162"/>
      <c r="K169" s="162"/>
      <c r="L169" s="162"/>
      <c r="M169" s="162"/>
      <c r="N169" s="162"/>
    </row>
    <row r="170" spans="4:14" ht="14">
      <c r="D170" s="162"/>
      <c r="E170" s="162"/>
      <c r="F170" s="162"/>
      <c r="G170" s="162"/>
      <c r="H170" s="162"/>
      <c r="I170" s="162"/>
      <c r="J170" s="162"/>
      <c r="K170" s="162"/>
      <c r="L170" s="162"/>
      <c r="M170" s="162"/>
      <c r="N170" s="162"/>
    </row>
    <row r="171" spans="4:14" ht="14">
      <c r="D171" s="162"/>
      <c r="E171" s="162"/>
      <c r="F171" s="162"/>
      <c r="G171" s="162"/>
      <c r="H171" s="162"/>
      <c r="I171" s="162"/>
      <c r="J171" s="162"/>
      <c r="K171" s="162"/>
      <c r="L171" s="162"/>
      <c r="M171" s="162"/>
      <c r="N171" s="162"/>
    </row>
    <row r="172" spans="4:14" ht="14">
      <c r="D172" s="162"/>
      <c r="E172" s="162"/>
      <c r="F172" s="162"/>
      <c r="G172" s="162"/>
      <c r="H172" s="162"/>
      <c r="I172" s="162"/>
      <c r="J172" s="162"/>
      <c r="K172" s="162"/>
      <c r="L172" s="162"/>
      <c r="M172" s="162"/>
      <c r="N172" s="162"/>
    </row>
    <row r="173" spans="4:14" ht="14">
      <c r="D173" s="162"/>
      <c r="E173" s="162"/>
      <c r="F173" s="162"/>
      <c r="G173" s="162"/>
      <c r="H173" s="162"/>
      <c r="I173" s="162"/>
      <c r="J173" s="162"/>
      <c r="K173" s="162"/>
      <c r="L173" s="162"/>
      <c r="M173" s="162"/>
      <c r="N173" s="162"/>
    </row>
    <row r="174" spans="4:14" ht="14">
      <c r="D174" s="162"/>
      <c r="E174" s="162"/>
      <c r="F174" s="162"/>
      <c r="G174" s="162"/>
      <c r="H174" s="162"/>
      <c r="I174" s="162"/>
      <c r="J174" s="162"/>
      <c r="K174" s="162"/>
      <c r="L174" s="162"/>
      <c r="M174" s="162"/>
      <c r="N174" s="162"/>
    </row>
    <row r="175" spans="4:14" ht="14">
      <c r="D175" s="162"/>
      <c r="E175" s="162"/>
      <c r="F175" s="162"/>
      <c r="G175" s="162"/>
      <c r="H175" s="162"/>
      <c r="I175" s="162"/>
      <c r="J175" s="162"/>
      <c r="K175" s="162"/>
      <c r="L175" s="162"/>
      <c r="M175" s="162"/>
      <c r="N175" s="162"/>
    </row>
    <row r="176" spans="4:14" ht="14">
      <c r="D176" s="162"/>
      <c r="E176" s="162"/>
      <c r="F176" s="162"/>
      <c r="G176" s="162"/>
      <c r="H176" s="162"/>
      <c r="I176" s="162"/>
      <c r="J176" s="162"/>
      <c r="K176" s="162"/>
      <c r="L176" s="162"/>
      <c r="M176" s="162"/>
      <c r="N176" s="162"/>
    </row>
    <row r="177" spans="4:14" ht="14">
      <c r="D177" s="162"/>
      <c r="E177" s="162"/>
      <c r="F177" s="162"/>
      <c r="G177" s="162"/>
      <c r="H177" s="162"/>
      <c r="I177" s="162"/>
      <c r="J177" s="162"/>
      <c r="K177" s="162"/>
      <c r="L177" s="162"/>
      <c r="M177" s="162"/>
      <c r="N177" s="162"/>
    </row>
    <row r="178" spans="4:14" ht="14">
      <c r="D178" s="162"/>
      <c r="E178" s="162"/>
      <c r="F178" s="162"/>
      <c r="G178" s="162"/>
      <c r="H178" s="162"/>
      <c r="I178" s="162"/>
      <c r="J178" s="162"/>
      <c r="K178" s="162"/>
      <c r="L178" s="162"/>
      <c r="M178" s="162"/>
      <c r="N178" s="162"/>
    </row>
    <row r="179" spans="4:14" ht="14">
      <c r="D179" s="162"/>
      <c r="E179" s="162"/>
      <c r="F179" s="162"/>
      <c r="G179" s="162"/>
      <c r="H179" s="162"/>
      <c r="I179" s="162"/>
      <c r="J179" s="162"/>
      <c r="K179" s="162"/>
      <c r="L179" s="162"/>
      <c r="M179" s="162"/>
      <c r="N179" s="162"/>
    </row>
    <row r="180" spans="4:14" ht="14">
      <c r="D180" s="162"/>
      <c r="E180" s="162"/>
      <c r="F180" s="162"/>
      <c r="G180" s="162"/>
      <c r="H180" s="162"/>
      <c r="I180" s="162"/>
      <c r="J180" s="162"/>
      <c r="K180" s="162"/>
      <c r="L180" s="162"/>
      <c r="M180" s="162"/>
      <c r="N180" s="162"/>
    </row>
    <row r="181" spans="4:14" ht="14">
      <c r="D181" s="162"/>
      <c r="E181" s="162"/>
      <c r="F181" s="162"/>
      <c r="G181" s="162"/>
      <c r="H181" s="162"/>
      <c r="I181" s="162"/>
      <c r="J181" s="162"/>
      <c r="K181" s="162"/>
      <c r="L181" s="162"/>
      <c r="M181" s="162"/>
      <c r="N181" s="162"/>
    </row>
    <row r="182" spans="4:14" ht="14">
      <c r="D182" s="162"/>
      <c r="E182" s="162"/>
      <c r="F182" s="162"/>
      <c r="G182" s="162"/>
      <c r="H182" s="162"/>
      <c r="I182" s="162"/>
      <c r="J182" s="162"/>
      <c r="K182" s="162"/>
      <c r="L182" s="162"/>
      <c r="M182" s="162"/>
      <c r="N182" s="162"/>
    </row>
    <row r="183" spans="4:14" ht="14">
      <c r="D183" s="162"/>
      <c r="E183" s="162"/>
      <c r="F183" s="162"/>
      <c r="G183" s="162"/>
      <c r="H183" s="162"/>
      <c r="I183" s="162"/>
      <c r="J183" s="162"/>
      <c r="K183" s="162"/>
      <c r="L183" s="162"/>
      <c r="M183" s="162"/>
      <c r="N183" s="162"/>
    </row>
    <row r="184" spans="4:14" ht="14">
      <c r="D184" s="162"/>
      <c r="E184" s="162"/>
      <c r="F184" s="162"/>
      <c r="G184" s="162"/>
      <c r="H184" s="162"/>
      <c r="I184" s="162"/>
      <c r="J184" s="162"/>
      <c r="K184" s="162"/>
      <c r="L184" s="162"/>
      <c r="M184" s="162"/>
      <c r="N184" s="162"/>
    </row>
    <row r="185" spans="4:14" ht="14">
      <c r="D185" s="162"/>
      <c r="E185" s="162"/>
      <c r="F185" s="162"/>
      <c r="G185" s="162"/>
      <c r="H185" s="162"/>
      <c r="I185" s="162"/>
      <c r="J185" s="162"/>
      <c r="K185" s="162"/>
      <c r="L185" s="162"/>
      <c r="M185" s="162"/>
      <c r="N185" s="162"/>
    </row>
    <row r="186" spans="4:14" ht="14">
      <c r="D186" s="162"/>
      <c r="E186" s="162"/>
      <c r="F186" s="162"/>
      <c r="G186" s="162"/>
      <c r="H186" s="162"/>
      <c r="I186" s="162"/>
      <c r="J186" s="162"/>
      <c r="K186" s="162"/>
      <c r="L186" s="162"/>
      <c r="M186" s="162"/>
      <c r="N186" s="162"/>
    </row>
    <row r="187" spans="4:14" ht="14">
      <c r="D187" s="162"/>
      <c r="E187" s="162"/>
      <c r="F187" s="162"/>
      <c r="G187" s="162"/>
      <c r="H187" s="162"/>
      <c r="I187" s="162"/>
      <c r="J187" s="162"/>
      <c r="K187" s="162"/>
      <c r="L187" s="162"/>
      <c r="M187" s="162"/>
      <c r="N187" s="162"/>
    </row>
    <row r="188" spans="4:14" ht="14">
      <c r="D188" s="162"/>
      <c r="E188" s="162"/>
      <c r="F188" s="162"/>
      <c r="G188" s="162"/>
      <c r="H188" s="162"/>
      <c r="I188" s="162"/>
      <c r="J188" s="162"/>
      <c r="K188" s="162"/>
      <c r="L188" s="162"/>
      <c r="M188" s="162"/>
      <c r="N188" s="162"/>
    </row>
    <row r="189" spans="4:14" ht="14">
      <c r="D189" s="162"/>
      <c r="E189" s="162"/>
      <c r="F189" s="162"/>
      <c r="G189" s="162"/>
      <c r="H189" s="162"/>
      <c r="I189" s="162"/>
      <c r="J189" s="162"/>
      <c r="K189" s="162"/>
      <c r="L189" s="162"/>
      <c r="M189" s="162"/>
      <c r="N189" s="162"/>
    </row>
    <row r="190" spans="4:14" ht="14">
      <c r="D190" s="162"/>
      <c r="E190" s="162"/>
      <c r="F190" s="162"/>
      <c r="G190" s="162"/>
      <c r="H190" s="162"/>
      <c r="I190" s="162"/>
      <c r="J190" s="162"/>
      <c r="K190" s="162"/>
      <c r="L190" s="162"/>
      <c r="M190" s="162"/>
      <c r="N190" s="162"/>
    </row>
    <row r="191" spans="4:14" ht="14">
      <c r="D191" s="162"/>
      <c r="E191" s="162"/>
      <c r="F191" s="162"/>
      <c r="G191" s="162"/>
      <c r="H191" s="162"/>
      <c r="I191" s="162"/>
      <c r="J191" s="162"/>
      <c r="K191" s="162"/>
      <c r="L191" s="162"/>
      <c r="M191" s="162"/>
      <c r="N191" s="162"/>
    </row>
    <row r="192" spans="4:14" ht="14">
      <c r="D192" s="162"/>
      <c r="E192" s="162"/>
      <c r="F192" s="162"/>
      <c r="G192" s="162"/>
      <c r="H192" s="162"/>
      <c r="I192" s="162"/>
      <c r="J192" s="162"/>
      <c r="K192" s="162"/>
      <c r="L192" s="162"/>
      <c r="M192" s="162"/>
      <c r="N192" s="162"/>
    </row>
    <row r="193" spans="4:14" ht="14">
      <c r="D193" s="162"/>
      <c r="E193" s="162"/>
      <c r="F193" s="162"/>
      <c r="G193" s="162"/>
      <c r="H193" s="162"/>
      <c r="I193" s="162"/>
      <c r="J193" s="162"/>
      <c r="K193" s="162"/>
      <c r="L193" s="162"/>
      <c r="M193" s="162"/>
      <c r="N193" s="162"/>
    </row>
    <row r="194" spans="4:14" ht="14">
      <c r="D194" s="162"/>
      <c r="E194" s="162"/>
      <c r="F194" s="162"/>
      <c r="G194" s="162"/>
      <c r="H194" s="162"/>
      <c r="I194" s="162"/>
      <c r="J194" s="162"/>
      <c r="K194" s="162"/>
      <c r="L194" s="162"/>
      <c r="M194" s="162"/>
      <c r="N194" s="162"/>
    </row>
    <row r="195" spans="4:14" ht="14">
      <c r="D195" s="162"/>
      <c r="E195" s="162"/>
      <c r="F195" s="162"/>
      <c r="G195" s="162"/>
      <c r="H195" s="162"/>
      <c r="I195" s="162"/>
      <c r="J195" s="162"/>
      <c r="K195" s="162"/>
      <c r="L195" s="162"/>
      <c r="M195" s="162"/>
      <c r="N195" s="162"/>
    </row>
    <row r="196" spans="4:14" ht="14">
      <c r="D196" s="162"/>
      <c r="E196" s="162"/>
      <c r="F196" s="162"/>
      <c r="G196" s="162"/>
      <c r="H196" s="162"/>
      <c r="I196" s="162"/>
      <c r="J196" s="162"/>
      <c r="K196" s="162"/>
      <c r="L196" s="162"/>
      <c r="M196" s="162"/>
      <c r="N196" s="162"/>
    </row>
    <row r="197" spans="4:14" ht="14">
      <c r="D197" s="162"/>
      <c r="E197" s="162"/>
      <c r="F197" s="162"/>
      <c r="G197" s="162"/>
      <c r="H197" s="162"/>
      <c r="I197" s="162"/>
      <c r="J197" s="162"/>
      <c r="K197" s="162"/>
      <c r="L197" s="162"/>
      <c r="M197" s="162"/>
      <c r="N197" s="162"/>
    </row>
    <row r="198" spans="4:14" ht="14">
      <c r="D198" s="162"/>
      <c r="E198" s="162"/>
      <c r="F198" s="162"/>
      <c r="G198" s="162"/>
      <c r="H198" s="162"/>
      <c r="I198" s="162"/>
      <c r="J198" s="162"/>
      <c r="K198" s="162"/>
      <c r="L198" s="162"/>
      <c r="M198" s="162"/>
      <c r="N198" s="162"/>
    </row>
    <row r="199" spans="4:14" ht="14">
      <c r="D199" s="162"/>
      <c r="E199" s="162"/>
      <c r="F199" s="162"/>
      <c r="G199" s="162"/>
      <c r="H199" s="162"/>
      <c r="I199" s="162"/>
      <c r="J199" s="162"/>
      <c r="K199" s="162"/>
      <c r="L199" s="162"/>
      <c r="M199" s="162"/>
      <c r="N199" s="162"/>
    </row>
    <row r="200" spans="4:14" ht="14">
      <c r="D200" s="162"/>
      <c r="E200" s="162"/>
      <c r="F200" s="162"/>
      <c r="G200" s="162"/>
      <c r="H200" s="162"/>
      <c r="I200" s="162"/>
      <c r="J200" s="162"/>
      <c r="K200" s="162"/>
      <c r="L200" s="162"/>
      <c r="M200" s="162"/>
      <c r="N200" s="162"/>
    </row>
    <row r="201" spans="4:14" ht="14">
      <c r="D201" s="162"/>
      <c r="E201" s="162"/>
      <c r="F201" s="162"/>
      <c r="G201" s="162"/>
      <c r="H201" s="162"/>
      <c r="I201" s="162"/>
      <c r="J201" s="162"/>
      <c r="K201" s="162"/>
      <c r="L201" s="162"/>
      <c r="M201" s="162"/>
      <c r="N201" s="162"/>
    </row>
    <row r="202" spans="4:14" ht="14">
      <c r="D202" s="162"/>
      <c r="E202" s="162"/>
      <c r="F202" s="162"/>
      <c r="G202" s="162"/>
      <c r="H202" s="162"/>
      <c r="I202" s="162"/>
      <c r="J202" s="162"/>
      <c r="K202" s="162"/>
      <c r="L202" s="162"/>
      <c r="M202" s="162"/>
      <c r="N202" s="162"/>
    </row>
    <row r="203" spans="4:14" ht="15" thickBot="1">
      <c r="D203" s="174"/>
      <c r="E203" s="174"/>
      <c r="F203" s="174"/>
      <c r="G203" s="174"/>
      <c r="H203" s="162"/>
      <c r="I203" s="162"/>
      <c r="J203" s="162"/>
      <c r="K203" s="162"/>
      <c r="L203" s="162"/>
      <c r="M203" s="162"/>
      <c r="N203" s="162"/>
    </row>
    <row r="204" spans="4:14" ht="14">
      <c r="D204" s="162"/>
      <c r="E204" s="162"/>
      <c r="F204" s="162"/>
      <c r="G204" s="162"/>
      <c r="H204" s="162"/>
      <c r="I204" s="162"/>
      <c r="J204" s="162"/>
      <c r="K204" s="162"/>
      <c r="L204" s="162"/>
      <c r="M204" s="162"/>
      <c r="N204" s="162"/>
    </row>
  </sheetData>
  <mergeCells count="2">
    <mergeCell ref="F29:G29"/>
    <mergeCell ref="F30:G30"/>
  </mergeCells>
  <hyperlinks>
    <hyperlink ref="F31" r:id="rId1"/>
  </hyperlinks>
  <pageMargins left="0.7" right="0.7" top="0.75" bottom="0.75" header="0.3" footer="0.3"/>
  <pageSetup scale="96" orientation="portrait"/>
  <headerFooter alignWithMargins="0">
    <oddFooter>&amp;R&amp;"-,Regular"Page: &amp;P of &amp;N</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C000"/>
  </sheetPr>
  <dimension ref="A1:N221"/>
  <sheetViews>
    <sheetView workbookViewId="0">
      <selection sqref="A1:D2"/>
    </sheetView>
  </sheetViews>
  <sheetFormatPr baseColWidth="10" defaultColWidth="8.83203125" defaultRowHeight="14" outlineLevelRow="1" x14ac:dyDescent="0"/>
  <cols>
    <col min="1" max="4" width="8.83203125" style="232"/>
    <col min="5" max="5" width="76.83203125" style="232" bestFit="1" customWidth="1"/>
    <col min="6" max="6" width="25.6640625" style="232" bestFit="1" customWidth="1"/>
    <col min="7" max="7" width="9" style="245" bestFit="1" customWidth="1"/>
    <col min="8" max="8" width="5" style="245" bestFit="1" customWidth="1"/>
    <col min="9" max="10" width="15.6640625" style="232" customWidth="1"/>
    <col min="11" max="11" width="15.6640625" style="238" customWidth="1"/>
    <col min="12" max="12" width="20.6640625" style="234" customWidth="1"/>
    <col min="13" max="13" width="8.83203125" style="232"/>
    <col min="14" max="14" width="12.1640625" style="235" bestFit="1" customWidth="1"/>
    <col min="15" max="16384" width="8.83203125" style="232"/>
  </cols>
  <sheetData>
    <row r="1" spans="1:14">
      <c r="A1" s="1243" t="s">
        <v>62</v>
      </c>
      <c r="B1" s="1243"/>
      <c r="C1" s="1243"/>
      <c r="D1" s="1243"/>
      <c r="E1" s="1244" t="s">
        <v>487</v>
      </c>
    </row>
    <row r="2" spans="1:14">
      <c r="A2" s="1243"/>
      <c r="B2" s="1243"/>
      <c r="C2" s="1243"/>
      <c r="D2" s="1243"/>
      <c r="E2" s="1244"/>
    </row>
    <row r="3" spans="1:14">
      <c r="A3" s="1245" t="s">
        <v>64</v>
      </c>
      <c r="B3" s="1245"/>
      <c r="C3" s="1245"/>
      <c r="D3" s="1245"/>
      <c r="E3" s="262">
        <v>4000</v>
      </c>
    </row>
    <row r="4" spans="1:14">
      <c r="A4" s="1245" t="s">
        <v>359</v>
      </c>
      <c r="B4" s="1245"/>
      <c r="C4" s="1245"/>
      <c r="D4" s="1245"/>
      <c r="E4" s="263">
        <v>150</v>
      </c>
    </row>
    <row r="5" spans="1:14" ht="15" customHeight="1">
      <c r="A5" s="1245" t="s">
        <v>491</v>
      </c>
      <c r="B5" s="1245"/>
      <c r="C5" s="1245"/>
      <c r="D5" s="1245"/>
      <c r="E5" s="263">
        <v>6</v>
      </c>
    </row>
    <row r="6" spans="1:14" ht="15" thickBot="1">
      <c r="A6" s="1245" t="s">
        <v>361</v>
      </c>
      <c r="B6" s="1245"/>
      <c r="C6" s="1245"/>
      <c r="D6" s="1245"/>
      <c r="E6" s="263">
        <v>130</v>
      </c>
    </row>
    <row r="7" spans="1:14" ht="27" thickBot="1">
      <c r="F7" s="594" t="s">
        <v>363</v>
      </c>
      <c r="G7" s="595" t="s">
        <v>336</v>
      </c>
      <c r="H7" s="595" t="s">
        <v>337</v>
      </c>
      <c r="I7" s="596" t="s">
        <v>365</v>
      </c>
      <c r="J7" s="596" t="s">
        <v>366</v>
      </c>
      <c r="K7" s="597" t="s">
        <v>560</v>
      </c>
      <c r="L7" s="598" t="s">
        <v>368</v>
      </c>
      <c r="N7" s="251"/>
    </row>
    <row r="8" spans="1:14" s="109" customFormat="1" thickBot="1">
      <c r="B8" s="447">
        <v>1</v>
      </c>
      <c r="C8" s="448" t="s">
        <v>28</v>
      </c>
      <c r="D8" s="449"/>
      <c r="E8" s="450"/>
      <c r="F8" s="451"/>
      <c r="G8" s="451"/>
      <c r="H8" s="451"/>
      <c r="I8" s="451"/>
      <c r="J8" s="451"/>
      <c r="K8" s="452"/>
      <c r="L8" s="590"/>
      <c r="N8" s="228"/>
    </row>
    <row r="9" spans="1:14" s="109" customFormat="1" thickBot="1">
      <c r="B9" s="442">
        <v>1.1000000000000001</v>
      </c>
      <c r="C9" s="454" t="s">
        <v>0</v>
      </c>
      <c r="D9" s="443"/>
      <c r="E9" s="454"/>
      <c r="F9" s="444"/>
      <c r="G9" s="444"/>
      <c r="H9" s="444"/>
      <c r="I9" s="444"/>
      <c r="J9" s="444"/>
      <c r="K9" s="445"/>
      <c r="L9" s="575"/>
      <c r="N9" s="228"/>
    </row>
    <row r="10" spans="1:14" s="109" customFormat="1" ht="13" outlineLevel="1">
      <c r="B10" s="1162" t="s">
        <v>515</v>
      </c>
      <c r="C10" s="1163"/>
      <c r="D10" s="1248" t="s">
        <v>370</v>
      </c>
      <c r="E10" s="401" t="s">
        <v>352</v>
      </c>
      <c r="F10" s="469"/>
      <c r="G10" s="402">
        <v>100</v>
      </c>
      <c r="H10" s="402" t="s">
        <v>360</v>
      </c>
      <c r="I10" s="403">
        <f>+VLOOKUP(E10,'Line items'!$B$3:$D$115,3,FALSE)</f>
        <v>60</v>
      </c>
      <c r="J10" s="403">
        <f>+I10*G10</f>
        <v>6000</v>
      </c>
      <c r="K10" s="1217">
        <f>+SUM(J10:J13)</f>
        <v>52500</v>
      </c>
      <c r="L10" s="1237">
        <f>+SUM(K10:K15)</f>
        <v>68500</v>
      </c>
      <c r="N10" s="228"/>
    </row>
    <row r="11" spans="1:14" s="109" customFormat="1" ht="13" outlineLevel="1">
      <c r="B11" s="1164"/>
      <c r="C11" s="1160"/>
      <c r="D11" s="1249"/>
      <c r="E11" s="374" t="s">
        <v>649</v>
      </c>
      <c r="F11" s="467"/>
      <c r="G11" s="375">
        <v>100</v>
      </c>
      <c r="H11" s="375" t="s">
        <v>360</v>
      </c>
      <c r="I11" s="376">
        <f>+VLOOKUP(E11,'Line items'!$B$3:$D$115,3,FALSE)</f>
        <v>70</v>
      </c>
      <c r="J11" s="376">
        <f>+I11*G11</f>
        <v>7000</v>
      </c>
      <c r="K11" s="1218"/>
      <c r="L11" s="1238"/>
      <c r="N11" s="228"/>
    </row>
    <row r="12" spans="1:14" s="109" customFormat="1" ht="13" outlineLevel="1">
      <c r="B12" s="1164"/>
      <c r="C12" s="1160"/>
      <c r="D12" s="1249"/>
      <c r="E12" s="370" t="s">
        <v>759</v>
      </c>
      <c r="F12" s="467"/>
      <c r="G12" s="371">
        <v>160</v>
      </c>
      <c r="H12" s="371" t="s">
        <v>758</v>
      </c>
      <c r="I12" s="372">
        <f>+VLOOKUP(E12,'Line items'!$B$3:$D$102,3,FALSE)</f>
        <v>200</v>
      </c>
      <c r="J12" s="372">
        <f>+I12*G12</f>
        <v>32000</v>
      </c>
      <c r="K12" s="1218"/>
      <c r="L12" s="1238"/>
      <c r="N12" s="228"/>
    </row>
    <row r="13" spans="1:14" s="109" customFormat="1" ht="13" outlineLevel="1">
      <c r="B13" s="1164"/>
      <c r="C13" s="1160"/>
      <c r="D13" s="1249"/>
      <c r="E13" s="370" t="s">
        <v>653</v>
      </c>
      <c r="F13" s="467"/>
      <c r="G13" s="375">
        <v>3</v>
      </c>
      <c r="H13" s="375" t="s">
        <v>364</v>
      </c>
      <c r="I13" s="376">
        <f>+VLOOKUP(E13,'Line items'!$B$3:$D$115,3,FALSE)</f>
        <v>2500</v>
      </c>
      <c r="J13" s="376">
        <f>+I13*G13</f>
        <v>7500</v>
      </c>
      <c r="K13" s="1218"/>
      <c r="L13" s="1238"/>
      <c r="N13" s="228"/>
    </row>
    <row r="14" spans="1:14" s="109" customFormat="1" ht="13" outlineLevel="1">
      <c r="B14" s="1164"/>
      <c r="C14" s="1160"/>
      <c r="D14" s="373" t="s">
        <v>369</v>
      </c>
      <c r="E14" s="374" t="s">
        <v>557</v>
      </c>
      <c r="F14" s="467"/>
      <c r="G14" s="375">
        <f>E3/2000</f>
        <v>2</v>
      </c>
      <c r="H14" s="375" t="s">
        <v>364</v>
      </c>
      <c r="I14" s="376">
        <f>+VLOOKUP(E14,'Line items'!$B$3:$D$115,3,FALSE)</f>
        <v>8000</v>
      </c>
      <c r="J14" s="376">
        <f>+I14*G14</f>
        <v>16000</v>
      </c>
      <c r="K14" s="532">
        <f>+J14</f>
        <v>16000</v>
      </c>
      <c r="L14" s="1238"/>
      <c r="N14" s="228"/>
    </row>
    <row r="15" spans="1:14" s="109" customFormat="1" outlineLevel="1" thickBot="1">
      <c r="B15" s="1165"/>
      <c r="C15" s="1166"/>
      <c r="D15" s="395" t="s">
        <v>371</v>
      </c>
      <c r="E15" s="396" t="s">
        <v>301</v>
      </c>
      <c r="F15" s="468"/>
      <c r="G15" s="397"/>
      <c r="H15" s="397"/>
      <c r="I15" s="397"/>
      <c r="J15" s="398"/>
      <c r="K15" s="548"/>
      <c r="L15" s="1239"/>
      <c r="N15" s="228"/>
    </row>
    <row r="16" spans="1:14" s="109" customFormat="1" ht="13" outlineLevel="1">
      <c r="B16" s="1162" t="s">
        <v>516</v>
      </c>
      <c r="C16" s="1163"/>
      <c r="D16" s="400" t="s">
        <v>380</v>
      </c>
      <c r="E16" s="401" t="s">
        <v>302</v>
      </c>
      <c r="F16" s="469"/>
      <c r="G16" s="402"/>
      <c r="H16" s="402"/>
      <c r="I16" s="403"/>
      <c r="J16" s="403"/>
      <c r="K16" s="549"/>
      <c r="L16" s="1240">
        <f>+SUM(K16:K18)</f>
        <v>0</v>
      </c>
      <c r="N16" s="228"/>
    </row>
    <row r="17" spans="2:14" s="109" customFormat="1" ht="13" outlineLevel="1">
      <c r="B17" s="1164"/>
      <c r="C17" s="1160"/>
      <c r="D17" s="373" t="s">
        <v>373</v>
      </c>
      <c r="E17" s="374" t="s">
        <v>88</v>
      </c>
      <c r="F17" s="467"/>
      <c r="G17" s="375"/>
      <c r="H17" s="375"/>
      <c r="I17" s="376"/>
      <c r="J17" s="376"/>
      <c r="K17" s="532"/>
      <c r="L17" s="1241"/>
      <c r="N17" s="228"/>
    </row>
    <row r="18" spans="2:14" s="109" customFormat="1" outlineLevel="1" thickBot="1">
      <c r="B18" s="1165"/>
      <c r="C18" s="1166"/>
      <c r="D18" s="395" t="s">
        <v>372</v>
      </c>
      <c r="E18" s="396" t="s">
        <v>88</v>
      </c>
      <c r="F18" s="468"/>
      <c r="G18" s="397"/>
      <c r="H18" s="397"/>
      <c r="I18" s="398"/>
      <c r="J18" s="398"/>
      <c r="K18" s="548"/>
      <c r="L18" s="1242"/>
      <c r="N18" s="228"/>
    </row>
    <row r="19" spans="2:14" s="109" customFormat="1" ht="13" outlineLevel="1">
      <c r="B19" s="1162" t="s">
        <v>517</v>
      </c>
      <c r="C19" s="1163"/>
      <c r="D19" s="405" t="s">
        <v>374</v>
      </c>
      <c r="E19" s="401" t="s">
        <v>88</v>
      </c>
      <c r="F19" s="469"/>
      <c r="G19" s="402"/>
      <c r="H19" s="402"/>
      <c r="I19" s="403"/>
      <c r="J19" s="403"/>
      <c r="K19" s="549"/>
      <c r="L19" s="1237">
        <f>+SUM(K19:K21)</f>
        <v>0</v>
      </c>
      <c r="N19" s="228"/>
    </row>
    <row r="20" spans="2:14" s="109" customFormat="1" ht="13" outlineLevel="1">
      <c r="B20" s="1164"/>
      <c r="C20" s="1160"/>
      <c r="D20" s="378" t="s">
        <v>375</v>
      </c>
      <c r="E20" s="374" t="s">
        <v>88</v>
      </c>
      <c r="F20" s="467"/>
      <c r="G20" s="375"/>
      <c r="H20" s="375"/>
      <c r="I20" s="376"/>
      <c r="J20" s="376"/>
      <c r="K20" s="532"/>
      <c r="L20" s="1238"/>
      <c r="N20" s="228"/>
    </row>
    <row r="21" spans="2:14" s="109" customFormat="1" outlineLevel="1" thickBot="1">
      <c r="B21" s="1165"/>
      <c r="C21" s="1166"/>
      <c r="D21" s="406" t="s">
        <v>376</v>
      </c>
      <c r="E21" s="396" t="s">
        <v>88</v>
      </c>
      <c r="F21" s="468"/>
      <c r="G21" s="397"/>
      <c r="H21" s="397"/>
      <c r="I21" s="398"/>
      <c r="J21" s="398"/>
      <c r="K21" s="548"/>
      <c r="L21" s="1239"/>
      <c r="N21" s="228"/>
    </row>
    <row r="22" spans="2:14" s="109" customFormat="1" ht="13" outlineLevel="1">
      <c r="B22" s="1162" t="s">
        <v>518</v>
      </c>
      <c r="C22" s="1163"/>
      <c r="D22" s="1248" t="s">
        <v>377</v>
      </c>
      <c r="E22" s="392" t="s">
        <v>305</v>
      </c>
      <c r="F22" s="465"/>
      <c r="G22" s="393">
        <v>1</v>
      </c>
      <c r="H22" s="393" t="s">
        <v>364</v>
      </c>
      <c r="I22" s="403">
        <f>+VLOOKUP(E22,'Line items'!$B$3:$D$115,3,FALSE)</f>
        <v>2500</v>
      </c>
      <c r="J22" s="394">
        <f>+I22*G22</f>
        <v>2500</v>
      </c>
      <c r="K22" s="1219">
        <f>+SUM(J22:J24)</f>
        <v>12500</v>
      </c>
      <c r="L22" s="1225">
        <f>+SUM(K22:K26)</f>
        <v>44500</v>
      </c>
      <c r="N22" s="228"/>
    </row>
    <row r="23" spans="2:14" s="109" customFormat="1" ht="13" outlineLevel="1">
      <c r="B23" s="1164"/>
      <c r="C23" s="1160"/>
      <c r="D23" s="1249"/>
      <c r="E23" s="370" t="s">
        <v>306</v>
      </c>
      <c r="F23" s="466"/>
      <c r="G23" s="371">
        <v>1</v>
      </c>
      <c r="H23" s="371" t="s">
        <v>364</v>
      </c>
      <c r="I23" s="376">
        <f>+VLOOKUP(E23,'Line items'!$B$3:$D$115,3,FALSE)</f>
        <v>10000</v>
      </c>
      <c r="J23" s="372">
        <f>+I23*G23</f>
        <v>10000</v>
      </c>
      <c r="K23" s="1220"/>
      <c r="L23" s="1226"/>
      <c r="N23" s="228"/>
    </row>
    <row r="24" spans="2:14" s="109" customFormat="1" ht="13" outlineLevel="1">
      <c r="B24" s="1164"/>
      <c r="C24" s="1160"/>
      <c r="D24" s="1249"/>
      <c r="E24" s="379" t="s">
        <v>307</v>
      </c>
      <c r="F24" s="467"/>
      <c r="G24" s="375"/>
      <c r="H24" s="375" t="s">
        <v>360</v>
      </c>
      <c r="I24" s="376">
        <v>0</v>
      </c>
      <c r="J24" s="376">
        <f>+I24*G24</f>
        <v>0</v>
      </c>
      <c r="K24" s="1220"/>
      <c r="L24" s="1226"/>
      <c r="N24" s="228"/>
    </row>
    <row r="25" spans="2:14" s="109" customFormat="1" ht="13" outlineLevel="1">
      <c r="B25" s="1164"/>
      <c r="C25" s="1160"/>
      <c r="D25" s="373" t="s">
        <v>378</v>
      </c>
      <c r="E25" s="370" t="s">
        <v>170</v>
      </c>
      <c r="F25" s="466"/>
      <c r="G25" s="371">
        <f>G12</f>
        <v>160</v>
      </c>
      <c r="H25" s="371" t="s">
        <v>758</v>
      </c>
      <c r="I25" s="376">
        <f>+VLOOKUP(E25,'Line items'!$B$3:$D$115,3,FALSE)</f>
        <v>200</v>
      </c>
      <c r="J25" s="372">
        <f>+I25*G25</f>
        <v>32000</v>
      </c>
      <c r="K25" s="533">
        <f t="shared" ref="K25:K26" si="0">+J25</f>
        <v>32000</v>
      </c>
      <c r="L25" s="1226"/>
      <c r="N25" s="228"/>
    </row>
    <row r="26" spans="2:14" s="109" customFormat="1" outlineLevel="1" thickBot="1">
      <c r="B26" s="1172"/>
      <c r="C26" s="1161"/>
      <c r="D26" s="381" t="s">
        <v>379</v>
      </c>
      <c r="E26" s="370" t="s">
        <v>170</v>
      </c>
      <c r="F26" s="488"/>
      <c r="G26" s="428">
        <v>0</v>
      </c>
      <c r="H26" s="428" t="s">
        <v>758</v>
      </c>
      <c r="I26" s="384">
        <f>+VLOOKUP(E26,'Line items'!$B$3:$D$115,3,FALSE)</f>
        <v>200</v>
      </c>
      <c r="J26" s="426">
        <f>+I26*G26</f>
        <v>0</v>
      </c>
      <c r="K26" s="542">
        <f t="shared" si="0"/>
        <v>0</v>
      </c>
      <c r="L26" s="1228"/>
      <c r="N26" s="228"/>
    </row>
    <row r="27" spans="2:14" s="109" customFormat="1" thickBot="1">
      <c r="B27" s="442">
        <v>1.2</v>
      </c>
      <c r="C27" s="1167" t="s">
        <v>4</v>
      </c>
      <c r="D27" s="1167"/>
      <c r="E27" s="1167"/>
      <c r="F27" s="464"/>
      <c r="G27" s="444"/>
      <c r="H27" s="444"/>
      <c r="I27" s="444"/>
      <c r="J27" s="444"/>
      <c r="K27" s="445"/>
      <c r="L27" s="446"/>
      <c r="N27" s="228"/>
    </row>
    <row r="28" spans="2:14" s="109" customFormat="1" ht="13" outlineLevel="1">
      <c r="B28" s="1162" t="s">
        <v>519</v>
      </c>
      <c r="C28" s="1163"/>
      <c r="D28" s="1248" t="s">
        <v>381</v>
      </c>
      <c r="E28" s="392" t="s">
        <v>657</v>
      </c>
      <c r="F28" s="469"/>
      <c r="G28" s="402">
        <v>300</v>
      </c>
      <c r="H28" s="402" t="s">
        <v>360</v>
      </c>
      <c r="I28" s="403">
        <f>+VLOOKUP(E28,'Line items'!$B$3:$D$115,3,FALSE)</f>
        <v>80</v>
      </c>
      <c r="J28" s="403">
        <f>+I28*G28</f>
        <v>24000</v>
      </c>
      <c r="K28" s="1186">
        <f>+SUM(J28:J30)</f>
        <v>94500</v>
      </c>
      <c r="L28" s="1237">
        <f>+SUM(K28:K32)</f>
        <v>94500</v>
      </c>
      <c r="N28" s="228"/>
    </row>
    <row r="29" spans="2:14" s="109" customFormat="1" ht="13" outlineLevel="1">
      <c r="B29" s="1164"/>
      <c r="C29" s="1160"/>
      <c r="D29" s="1249"/>
      <c r="E29" s="374" t="s">
        <v>659</v>
      </c>
      <c r="F29" s="467"/>
      <c r="G29" s="375">
        <v>300</v>
      </c>
      <c r="H29" s="375" t="s">
        <v>360</v>
      </c>
      <c r="I29" s="376">
        <f>+VLOOKUP(E29,'Line items'!$B$3:$D$115,3,FALSE)</f>
        <v>210</v>
      </c>
      <c r="J29" s="376">
        <f>+I29*G29</f>
        <v>63000</v>
      </c>
      <c r="K29" s="1180"/>
      <c r="L29" s="1238"/>
      <c r="N29" s="228"/>
    </row>
    <row r="30" spans="2:14" s="109" customFormat="1" ht="13" outlineLevel="1">
      <c r="B30" s="1164"/>
      <c r="C30" s="1160"/>
      <c r="D30" s="1249"/>
      <c r="E30" s="370" t="s">
        <v>660</v>
      </c>
      <c r="F30" s="467"/>
      <c r="G30" s="375">
        <v>3</v>
      </c>
      <c r="H30" s="375" t="s">
        <v>364</v>
      </c>
      <c r="I30" s="376">
        <f>+VLOOKUP(E30,'Line items'!$B$3:$D$115,3,FALSE)</f>
        <v>2500</v>
      </c>
      <c r="J30" s="376">
        <f>+I30*G30</f>
        <v>7500</v>
      </c>
      <c r="K30" s="1180"/>
      <c r="L30" s="1238"/>
      <c r="N30" s="228"/>
    </row>
    <row r="31" spans="2:14" s="109" customFormat="1" ht="13" outlineLevel="1">
      <c r="B31" s="1164"/>
      <c r="C31" s="1160"/>
      <c r="D31" s="373" t="s">
        <v>382</v>
      </c>
      <c r="E31" s="374" t="s">
        <v>88</v>
      </c>
      <c r="F31" s="467"/>
      <c r="G31" s="375"/>
      <c r="H31" s="375"/>
      <c r="I31" s="376"/>
      <c r="J31" s="376"/>
      <c r="K31" s="534"/>
      <c r="L31" s="1238"/>
      <c r="N31" s="228"/>
    </row>
    <row r="32" spans="2:14" s="109" customFormat="1" outlineLevel="1" thickBot="1">
      <c r="B32" s="1165"/>
      <c r="C32" s="1166"/>
      <c r="D32" s="395" t="s">
        <v>383</v>
      </c>
      <c r="E32" s="396" t="s">
        <v>301</v>
      </c>
      <c r="F32" s="468"/>
      <c r="G32" s="397"/>
      <c r="H32" s="397"/>
      <c r="I32" s="398"/>
      <c r="J32" s="398"/>
      <c r="K32" s="551"/>
      <c r="L32" s="1239"/>
      <c r="N32" s="228"/>
    </row>
    <row r="33" spans="2:14" s="109" customFormat="1" ht="13" outlineLevel="1">
      <c r="B33" s="1162" t="s">
        <v>520</v>
      </c>
      <c r="C33" s="1163"/>
      <c r="D33" s="1248" t="s">
        <v>384</v>
      </c>
      <c r="E33" s="392" t="s">
        <v>657</v>
      </c>
      <c r="F33" s="469"/>
      <c r="G33" s="402">
        <v>300</v>
      </c>
      <c r="H33" s="402" t="s">
        <v>360</v>
      </c>
      <c r="I33" s="403">
        <f>+VLOOKUP(E33,'Line items'!$B$3:$D$115,3,FALSE)</f>
        <v>80</v>
      </c>
      <c r="J33" s="403">
        <f>+I33*G33</f>
        <v>24000</v>
      </c>
      <c r="K33" s="1186">
        <f>+SUM(J33:J34)</f>
        <v>63000</v>
      </c>
      <c r="L33" s="1237">
        <f>+SUM(K33:K36)</f>
        <v>63000</v>
      </c>
      <c r="N33" s="228"/>
    </row>
    <row r="34" spans="2:14" s="109" customFormat="1" ht="13" outlineLevel="1">
      <c r="B34" s="1164"/>
      <c r="C34" s="1160"/>
      <c r="D34" s="1249"/>
      <c r="E34" s="374" t="s">
        <v>661</v>
      </c>
      <c r="F34" s="467"/>
      <c r="G34" s="375">
        <v>300</v>
      </c>
      <c r="H34" s="375" t="s">
        <v>360</v>
      </c>
      <c r="I34" s="376">
        <f>+VLOOKUP(E34,'Line items'!$B$3:$D$115,3,FALSE)</f>
        <v>130</v>
      </c>
      <c r="J34" s="376">
        <f>+I34*G34</f>
        <v>39000</v>
      </c>
      <c r="K34" s="1180"/>
      <c r="L34" s="1238"/>
      <c r="N34" s="228"/>
    </row>
    <row r="35" spans="2:14" s="109" customFormat="1" ht="13" outlineLevel="1">
      <c r="B35" s="1164"/>
      <c r="C35" s="1160"/>
      <c r="D35" s="373" t="s">
        <v>385</v>
      </c>
      <c r="E35" s="374" t="s">
        <v>88</v>
      </c>
      <c r="F35" s="467"/>
      <c r="G35" s="375"/>
      <c r="H35" s="375"/>
      <c r="I35" s="376"/>
      <c r="J35" s="376"/>
      <c r="K35" s="534"/>
      <c r="L35" s="1238"/>
      <c r="N35" s="228"/>
    </row>
    <row r="36" spans="2:14" s="109" customFormat="1" outlineLevel="1" thickBot="1">
      <c r="B36" s="1165"/>
      <c r="C36" s="1166"/>
      <c r="D36" s="395" t="s">
        <v>386</v>
      </c>
      <c r="E36" s="396" t="s">
        <v>301</v>
      </c>
      <c r="F36" s="468"/>
      <c r="G36" s="397"/>
      <c r="H36" s="397"/>
      <c r="I36" s="398"/>
      <c r="J36" s="398"/>
      <c r="K36" s="551"/>
      <c r="L36" s="1239"/>
      <c r="N36" s="228"/>
    </row>
    <row r="37" spans="2:14" s="109" customFormat="1" ht="13" outlineLevel="1">
      <c r="B37" s="1162" t="s">
        <v>521</v>
      </c>
      <c r="C37" s="1163"/>
      <c r="D37" s="400" t="s">
        <v>387</v>
      </c>
      <c r="E37" s="422" t="s">
        <v>308</v>
      </c>
      <c r="F37" s="469"/>
      <c r="G37" s="402">
        <f>+VLOOKUP($E37,Supermarket!$E$10:$G$193,3,FALSE)</f>
        <v>150</v>
      </c>
      <c r="H37" s="402" t="s">
        <v>360</v>
      </c>
      <c r="I37" s="403">
        <v>0</v>
      </c>
      <c r="J37" s="403">
        <f t="shared" ref="J37:J45" si="1">+I37*G37</f>
        <v>0</v>
      </c>
      <c r="K37" s="552">
        <f>+J37</f>
        <v>0</v>
      </c>
      <c r="L37" s="1225">
        <f>+SUM(K37:K41)</f>
        <v>67500</v>
      </c>
      <c r="N37" s="228"/>
    </row>
    <row r="38" spans="2:14" s="109" customFormat="1" ht="13" outlineLevel="1">
      <c r="B38" s="1164"/>
      <c r="C38" s="1160"/>
      <c r="D38" s="1249" t="s">
        <v>388</v>
      </c>
      <c r="E38" s="370" t="s">
        <v>662</v>
      </c>
      <c r="F38" s="467"/>
      <c r="G38" s="375">
        <f>+VLOOKUP($E38,Supermarket!$E$10:$G$193,3,FALSE)</f>
        <v>1</v>
      </c>
      <c r="H38" s="375" t="s">
        <v>364</v>
      </c>
      <c r="I38" s="376">
        <f>+VLOOKUP(E38,'Line items'!$B$3:$D$115,3,FALSE)</f>
        <v>30000</v>
      </c>
      <c r="J38" s="376">
        <f t="shared" si="1"/>
        <v>30000</v>
      </c>
      <c r="K38" s="1220">
        <f>+SUM(J38:J40)</f>
        <v>67500</v>
      </c>
      <c r="L38" s="1226"/>
      <c r="N38" s="228"/>
    </row>
    <row r="39" spans="2:14" s="109" customFormat="1" ht="13" outlineLevel="1">
      <c r="B39" s="1164"/>
      <c r="C39" s="1160"/>
      <c r="D39" s="1249"/>
      <c r="E39" s="370" t="s">
        <v>663</v>
      </c>
      <c r="F39" s="467"/>
      <c r="G39" s="375">
        <f>+VLOOKUP($E39,Supermarket!$E$10:$G$193,3,FALSE)</f>
        <v>150</v>
      </c>
      <c r="H39" s="375" t="s">
        <v>360</v>
      </c>
      <c r="I39" s="376">
        <f>+VLOOKUP(E39,'Line items'!$B$3:$D$115,3,FALSE)</f>
        <v>210</v>
      </c>
      <c r="J39" s="376">
        <f t="shared" si="1"/>
        <v>31500</v>
      </c>
      <c r="K39" s="1220"/>
      <c r="L39" s="1226"/>
      <c r="N39" s="228"/>
    </row>
    <row r="40" spans="2:14" s="109" customFormat="1" ht="13" outlineLevel="1">
      <c r="B40" s="1164"/>
      <c r="C40" s="1160"/>
      <c r="D40" s="1249"/>
      <c r="E40" s="370" t="s">
        <v>309</v>
      </c>
      <c r="F40" s="467"/>
      <c r="G40" s="375">
        <f>+VLOOKUP($E40,Supermarket!$E$10:$G$193,3,FALSE)</f>
        <v>150</v>
      </c>
      <c r="H40" s="375" t="s">
        <v>360</v>
      </c>
      <c r="I40" s="376">
        <f>+VLOOKUP(E40,'Line items'!$B$3:$D$115,3,FALSE)</f>
        <v>40</v>
      </c>
      <c r="J40" s="376">
        <f t="shared" si="1"/>
        <v>6000</v>
      </c>
      <c r="K40" s="1220"/>
      <c r="L40" s="1226"/>
      <c r="N40" s="228"/>
    </row>
    <row r="41" spans="2:14" s="109" customFormat="1" outlineLevel="1" thickBot="1">
      <c r="B41" s="1165"/>
      <c r="C41" s="1166"/>
      <c r="D41" s="395" t="s">
        <v>389</v>
      </c>
      <c r="E41" s="439" t="s">
        <v>301</v>
      </c>
      <c r="F41" s="468"/>
      <c r="G41" s="397"/>
      <c r="H41" s="397"/>
      <c r="I41" s="398">
        <v>0</v>
      </c>
      <c r="J41" s="398">
        <f t="shared" si="1"/>
        <v>0</v>
      </c>
      <c r="K41" s="550">
        <f t="shared" ref="K41:K42" si="2">+J41</f>
        <v>0</v>
      </c>
      <c r="L41" s="1227"/>
      <c r="N41" s="228"/>
    </row>
    <row r="42" spans="2:14" s="109" customFormat="1" ht="13" outlineLevel="1">
      <c r="B42" s="1162" t="s">
        <v>522</v>
      </c>
      <c r="C42" s="1163"/>
      <c r="D42" s="400" t="s">
        <v>390</v>
      </c>
      <c r="E42" s="422" t="s">
        <v>308</v>
      </c>
      <c r="F42" s="469"/>
      <c r="G42" s="402">
        <f>+VLOOKUP($E42,Supermarket!$E$10:$G$193,3,FALSE)</f>
        <v>150</v>
      </c>
      <c r="H42" s="402" t="s">
        <v>360</v>
      </c>
      <c r="I42" s="403">
        <v>0</v>
      </c>
      <c r="J42" s="403">
        <f t="shared" si="1"/>
        <v>0</v>
      </c>
      <c r="K42" s="552">
        <f t="shared" si="2"/>
        <v>0</v>
      </c>
      <c r="L42" s="1225">
        <f>+SUM(K42:K46)</f>
        <v>67500</v>
      </c>
    </row>
    <row r="43" spans="2:14" s="109" customFormat="1" ht="13" outlineLevel="1">
      <c r="B43" s="1164"/>
      <c r="C43" s="1160"/>
      <c r="D43" s="1249" t="s">
        <v>391</v>
      </c>
      <c r="E43" s="370" t="s">
        <v>662</v>
      </c>
      <c r="F43" s="466"/>
      <c r="G43" s="371">
        <f>+VLOOKUP($E43,Supermarket!$E$10:$G$193,3,FALSE)</f>
        <v>1</v>
      </c>
      <c r="H43" s="371" t="s">
        <v>364</v>
      </c>
      <c r="I43" s="376">
        <f>+VLOOKUP(E43,'Line items'!$B$3:$D$115,3,FALSE)</f>
        <v>30000</v>
      </c>
      <c r="J43" s="372">
        <f t="shared" si="1"/>
        <v>30000</v>
      </c>
      <c r="K43" s="1220">
        <f>+SUM(J43:J45)</f>
        <v>67500</v>
      </c>
      <c r="L43" s="1226"/>
      <c r="N43" s="228"/>
    </row>
    <row r="44" spans="2:14" s="109" customFormat="1" ht="13" outlineLevel="1">
      <c r="B44" s="1164"/>
      <c r="C44" s="1160"/>
      <c r="D44" s="1249"/>
      <c r="E44" s="370" t="s">
        <v>663</v>
      </c>
      <c r="F44" s="472"/>
      <c r="G44" s="371">
        <f>+VLOOKUP($E44,Supermarket!$E$10:$G$193,3,FALSE)</f>
        <v>150</v>
      </c>
      <c r="H44" s="371" t="s">
        <v>360</v>
      </c>
      <c r="I44" s="376">
        <f>+VLOOKUP(E44,'Line items'!$B$3:$D$115,3,FALSE)</f>
        <v>210</v>
      </c>
      <c r="J44" s="372">
        <f t="shared" si="1"/>
        <v>31500</v>
      </c>
      <c r="K44" s="1220"/>
      <c r="L44" s="1226"/>
      <c r="N44" s="228"/>
    </row>
    <row r="45" spans="2:14" s="109" customFormat="1" ht="13" outlineLevel="1">
      <c r="B45" s="1164"/>
      <c r="C45" s="1160"/>
      <c r="D45" s="1249"/>
      <c r="E45" s="370" t="s">
        <v>309</v>
      </c>
      <c r="F45" s="466"/>
      <c r="G45" s="371">
        <f>+VLOOKUP($E45,Supermarket!$E$10:$G$193,3,FALSE)</f>
        <v>150</v>
      </c>
      <c r="H45" s="371" t="s">
        <v>360</v>
      </c>
      <c r="I45" s="376">
        <f>+VLOOKUP(E45,'Line items'!$B$3:$D$115,3,FALSE)</f>
        <v>40</v>
      </c>
      <c r="J45" s="372">
        <f t="shared" si="1"/>
        <v>6000</v>
      </c>
      <c r="K45" s="1220"/>
      <c r="L45" s="1226"/>
      <c r="N45" s="228"/>
    </row>
    <row r="46" spans="2:14" s="109" customFormat="1" outlineLevel="1" thickBot="1">
      <c r="B46" s="1172"/>
      <c r="C46" s="1161"/>
      <c r="D46" s="381" t="s">
        <v>392</v>
      </c>
      <c r="E46" s="382" t="s">
        <v>301</v>
      </c>
      <c r="F46" s="470"/>
      <c r="G46" s="383"/>
      <c r="H46" s="383"/>
      <c r="I46" s="384"/>
      <c r="J46" s="384"/>
      <c r="K46" s="543"/>
      <c r="L46" s="1228"/>
      <c r="N46" s="228"/>
    </row>
    <row r="47" spans="2:14" s="109" customFormat="1" outlineLevel="1" thickBot="1">
      <c r="B47" s="1233" t="s">
        <v>523</v>
      </c>
      <c r="C47" s="1234"/>
      <c r="D47" s="553" t="s">
        <v>393</v>
      </c>
      <c r="E47" s="432" t="s">
        <v>88</v>
      </c>
      <c r="F47" s="473"/>
      <c r="G47" s="434"/>
      <c r="H47" s="433"/>
      <c r="I47" s="435"/>
      <c r="J47" s="435"/>
      <c r="K47" s="554"/>
      <c r="L47" s="580">
        <f>+K47</f>
        <v>0</v>
      </c>
      <c r="N47" s="228"/>
    </row>
    <row r="48" spans="2:14" s="109" customFormat="1" thickBot="1">
      <c r="B48" s="442">
        <v>1.3</v>
      </c>
      <c r="C48" s="1167" t="s">
        <v>32</v>
      </c>
      <c r="D48" s="1167"/>
      <c r="E48" s="1167"/>
      <c r="F48" s="464"/>
      <c r="G48" s="444"/>
      <c r="H48" s="444"/>
      <c r="I48" s="444"/>
      <c r="J48" s="444"/>
      <c r="K48" s="445"/>
      <c r="L48" s="446"/>
      <c r="N48" s="228"/>
    </row>
    <row r="49" spans="2:14" s="109" customFormat="1" ht="13" outlineLevel="1">
      <c r="B49" s="1162" t="s">
        <v>524</v>
      </c>
      <c r="C49" s="1163"/>
      <c r="D49" s="400" t="s">
        <v>396</v>
      </c>
      <c r="E49" s="438" t="s">
        <v>682</v>
      </c>
      <c r="F49" s="465" t="s">
        <v>504</v>
      </c>
      <c r="G49" s="393">
        <v>3</v>
      </c>
      <c r="H49" s="393" t="s">
        <v>364</v>
      </c>
      <c r="I49" s="403">
        <f>+VLOOKUP(E49,'Line items'!$B$3:$D$115,3,FALSE)</f>
        <v>500</v>
      </c>
      <c r="J49" s="394">
        <f>+I49*G49</f>
        <v>1500</v>
      </c>
      <c r="K49" s="552">
        <f t="shared" ref="K49:K51" si="3">+J49</f>
        <v>1500</v>
      </c>
      <c r="L49" s="1225">
        <f>+SUM(K49:K51)</f>
        <v>61500</v>
      </c>
      <c r="N49" s="228"/>
    </row>
    <row r="50" spans="2:14" s="109" customFormat="1" ht="13" outlineLevel="1">
      <c r="B50" s="1164"/>
      <c r="C50" s="1160"/>
      <c r="D50" s="373" t="s">
        <v>397</v>
      </c>
      <c r="E50" s="370" t="s">
        <v>665</v>
      </c>
      <c r="F50" s="466"/>
      <c r="G50" s="371">
        <v>300</v>
      </c>
      <c r="H50" s="371" t="s">
        <v>360</v>
      </c>
      <c r="I50" s="376">
        <f>+VLOOKUP(E50,'Line items'!$B$3:$D$115,3,FALSE)</f>
        <v>200</v>
      </c>
      <c r="J50" s="372">
        <f>+I50*G50</f>
        <v>60000</v>
      </c>
      <c r="K50" s="533">
        <f t="shared" si="3"/>
        <v>60000</v>
      </c>
      <c r="L50" s="1226"/>
      <c r="N50" s="228"/>
    </row>
    <row r="51" spans="2:14" s="109" customFormat="1" outlineLevel="1" thickBot="1">
      <c r="B51" s="1165"/>
      <c r="C51" s="1166"/>
      <c r="D51" s="395" t="s">
        <v>398</v>
      </c>
      <c r="E51" s="439" t="s">
        <v>310</v>
      </c>
      <c r="F51" s="591" t="s">
        <v>755</v>
      </c>
      <c r="G51" s="440"/>
      <c r="H51" s="440"/>
      <c r="I51" s="408">
        <v>0</v>
      </c>
      <c r="J51" s="408">
        <f>+I51*G51</f>
        <v>0</v>
      </c>
      <c r="K51" s="550">
        <f t="shared" si="3"/>
        <v>0</v>
      </c>
      <c r="L51" s="1227"/>
      <c r="N51" s="228"/>
    </row>
    <row r="52" spans="2:14" s="109" customFormat="1" thickBot="1">
      <c r="B52" s="442">
        <v>1.4</v>
      </c>
      <c r="C52" s="1167" t="s">
        <v>14</v>
      </c>
      <c r="D52" s="1167"/>
      <c r="E52" s="1167"/>
      <c r="F52" s="464"/>
      <c r="G52" s="444"/>
      <c r="H52" s="444"/>
      <c r="I52" s="444"/>
      <c r="J52" s="444"/>
      <c r="K52" s="445"/>
      <c r="L52" s="446"/>
      <c r="N52" s="228"/>
    </row>
    <row r="53" spans="2:14" s="109" customFormat="1" ht="13" outlineLevel="1">
      <c r="B53" s="1162" t="s">
        <v>525</v>
      </c>
      <c r="C53" s="1163"/>
      <c r="D53" s="400" t="s">
        <v>399</v>
      </c>
      <c r="E53" s="401" t="s">
        <v>301</v>
      </c>
      <c r="F53" s="469"/>
      <c r="G53" s="402"/>
      <c r="H53" s="402"/>
      <c r="I53" s="403"/>
      <c r="J53" s="403"/>
      <c r="K53" s="557"/>
      <c r="L53" s="1225">
        <f>+SUM(K53:K55)</f>
        <v>0</v>
      </c>
      <c r="N53" s="228"/>
    </row>
    <row r="54" spans="2:14" s="109" customFormat="1" ht="13" outlineLevel="1">
      <c r="B54" s="1164"/>
      <c r="C54" s="1160"/>
      <c r="D54" s="373" t="s">
        <v>426</v>
      </c>
      <c r="E54" s="374" t="s">
        <v>301</v>
      </c>
      <c r="F54" s="467"/>
      <c r="G54" s="375"/>
      <c r="H54" s="375"/>
      <c r="I54" s="376"/>
      <c r="J54" s="376"/>
      <c r="K54" s="534"/>
      <c r="L54" s="1226"/>
      <c r="N54" s="228"/>
    </row>
    <row r="55" spans="2:14" s="109" customFormat="1" outlineLevel="1" thickBot="1">
      <c r="B55" s="1165"/>
      <c r="C55" s="1166"/>
      <c r="D55" s="395" t="s">
        <v>401</v>
      </c>
      <c r="E55" s="396" t="s">
        <v>301</v>
      </c>
      <c r="F55" s="468"/>
      <c r="G55" s="397"/>
      <c r="H55" s="397"/>
      <c r="I55" s="398"/>
      <c r="J55" s="398"/>
      <c r="K55" s="551"/>
      <c r="L55" s="1227"/>
      <c r="N55" s="228"/>
    </row>
    <row r="56" spans="2:14" s="109" customFormat="1" thickBot="1">
      <c r="B56" s="442">
        <v>1.5</v>
      </c>
      <c r="C56" s="1167" t="s">
        <v>16</v>
      </c>
      <c r="D56" s="1167"/>
      <c r="E56" s="1167"/>
      <c r="F56" s="464"/>
      <c r="G56" s="444"/>
      <c r="H56" s="444"/>
      <c r="I56" s="444"/>
      <c r="J56" s="444"/>
      <c r="K56" s="445"/>
      <c r="L56" s="446"/>
      <c r="N56" s="228"/>
    </row>
    <row r="57" spans="2:14" s="109" customFormat="1" ht="13" outlineLevel="1">
      <c r="B57" s="1162" t="s">
        <v>526</v>
      </c>
      <c r="C57" s="1163"/>
      <c r="D57" s="1248" t="s">
        <v>402</v>
      </c>
      <c r="E57" s="392" t="s">
        <v>490</v>
      </c>
      <c r="F57" s="465" t="s">
        <v>500</v>
      </c>
      <c r="G57" s="393">
        <v>1</v>
      </c>
      <c r="H57" s="393" t="s">
        <v>364</v>
      </c>
      <c r="I57" s="403">
        <f>+VLOOKUP(E57,'Line items'!$B$3:$D$115,3,FALSE)</f>
        <v>5000</v>
      </c>
      <c r="J57" s="394">
        <f>+I57*G57</f>
        <v>5000</v>
      </c>
      <c r="K57" s="1219">
        <f>+SUM(J57:J59)</f>
        <v>6000</v>
      </c>
      <c r="L57" s="1225">
        <f>+SUM(K57:K62)</f>
        <v>17000</v>
      </c>
      <c r="N57" s="228"/>
    </row>
    <row r="58" spans="2:14" s="109" customFormat="1" ht="13" outlineLevel="1">
      <c r="B58" s="1164"/>
      <c r="C58" s="1160"/>
      <c r="D58" s="1249"/>
      <c r="E58" s="370" t="s">
        <v>667</v>
      </c>
      <c r="F58" s="466"/>
      <c r="G58" s="371">
        <v>1</v>
      </c>
      <c r="H58" s="371" t="s">
        <v>364</v>
      </c>
      <c r="I58" s="376">
        <f>+VLOOKUP(E58,'Line items'!$B$3:$D$115,3,FALSE)</f>
        <v>1000</v>
      </c>
      <c r="J58" s="372">
        <f>+I58*G58</f>
        <v>1000</v>
      </c>
      <c r="K58" s="1220"/>
      <c r="L58" s="1226"/>
      <c r="N58" s="228"/>
    </row>
    <row r="59" spans="2:14" s="109" customFormat="1" ht="13" outlineLevel="1">
      <c r="B59" s="1164"/>
      <c r="C59" s="1160"/>
      <c r="D59" s="1249"/>
      <c r="E59" s="370" t="s">
        <v>312</v>
      </c>
      <c r="F59" s="466"/>
      <c r="G59" s="371"/>
      <c r="H59" s="371"/>
      <c r="I59" s="372">
        <v>0</v>
      </c>
      <c r="J59" s="372">
        <f>+I59*G59</f>
        <v>0</v>
      </c>
      <c r="K59" s="1220"/>
      <c r="L59" s="1226"/>
      <c r="N59" s="228"/>
    </row>
    <row r="60" spans="2:14" s="109" customFormat="1" ht="13" outlineLevel="1">
      <c r="B60" s="1164"/>
      <c r="C60" s="1160"/>
      <c r="D60" s="1249" t="s">
        <v>403</v>
      </c>
      <c r="E60" s="370" t="s">
        <v>313</v>
      </c>
      <c r="F60" s="466"/>
      <c r="G60" s="371">
        <v>30</v>
      </c>
      <c r="H60" s="371" t="s">
        <v>360</v>
      </c>
      <c r="I60" s="376">
        <f>+VLOOKUP(E60,'Line items'!$B$3:$D$115,3,FALSE)</f>
        <v>200</v>
      </c>
      <c r="J60" s="372">
        <f>+I60*G60</f>
        <v>6000</v>
      </c>
      <c r="K60" s="1193">
        <f>+SUM(J60:J61)</f>
        <v>11000</v>
      </c>
      <c r="L60" s="1226"/>
      <c r="N60" s="228"/>
    </row>
    <row r="61" spans="2:14" s="109" customFormat="1" ht="13" outlineLevel="1">
      <c r="B61" s="1164"/>
      <c r="C61" s="1160"/>
      <c r="D61" s="1249"/>
      <c r="E61" s="370" t="s">
        <v>490</v>
      </c>
      <c r="F61" s="466"/>
      <c r="G61" s="371">
        <v>1</v>
      </c>
      <c r="H61" s="371" t="s">
        <v>364</v>
      </c>
      <c r="I61" s="376">
        <f>+VLOOKUP(E61,'Line items'!$B$3:$D$115,3,FALSE)</f>
        <v>5000</v>
      </c>
      <c r="J61" s="372">
        <f>+I61*G61</f>
        <v>5000</v>
      </c>
      <c r="K61" s="1160"/>
      <c r="L61" s="1226"/>
      <c r="N61" s="228"/>
    </row>
    <row r="62" spans="2:14" s="109" customFormat="1" outlineLevel="1" thickBot="1">
      <c r="B62" s="1165"/>
      <c r="C62" s="1166"/>
      <c r="D62" s="395" t="s">
        <v>404</v>
      </c>
      <c r="E62" s="439"/>
      <c r="F62" s="477"/>
      <c r="G62" s="440"/>
      <c r="H62" s="440"/>
      <c r="I62" s="408"/>
      <c r="J62" s="408"/>
      <c r="K62" s="550"/>
      <c r="L62" s="1227"/>
      <c r="N62" s="228"/>
    </row>
    <row r="63" spans="2:14" s="109" customFormat="1" thickBot="1">
      <c r="B63" s="599">
        <v>1.6</v>
      </c>
      <c r="C63" s="1251" t="s">
        <v>18</v>
      </c>
      <c r="D63" s="1251"/>
      <c r="E63" s="1251"/>
      <c r="F63" s="600"/>
      <c r="G63" s="601"/>
      <c r="H63" s="601"/>
      <c r="I63" s="601"/>
      <c r="J63" s="601"/>
      <c r="K63" s="602"/>
      <c r="L63" s="603"/>
      <c r="N63" s="228"/>
    </row>
    <row r="64" spans="2:14" s="109" customFormat="1" ht="13" outlineLevel="1">
      <c r="B64" s="1162" t="s">
        <v>527</v>
      </c>
      <c r="C64" s="1163"/>
      <c r="D64" s="400" t="s">
        <v>405</v>
      </c>
      <c r="E64" s="401" t="s">
        <v>88</v>
      </c>
      <c r="F64" s="469"/>
      <c r="G64" s="402"/>
      <c r="H64" s="402"/>
      <c r="I64" s="403"/>
      <c r="J64" s="403"/>
      <c r="K64" s="557"/>
      <c r="L64" s="1225">
        <f>+SUM(K64:K66)</f>
        <v>0</v>
      </c>
      <c r="N64" s="228"/>
    </row>
    <row r="65" spans="2:14" s="109" customFormat="1" ht="13" outlineLevel="1">
      <c r="B65" s="1164"/>
      <c r="C65" s="1160"/>
      <c r="D65" s="373" t="s">
        <v>406</v>
      </c>
      <c r="E65" s="374" t="s">
        <v>88</v>
      </c>
      <c r="F65" s="467"/>
      <c r="G65" s="375"/>
      <c r="H65" s="375"/>
      <c r="I65" s="376"/>
      <c r="J65" s="376"/>
      <c r="K65" s="534"/>
      <c r="L65" s="1226"/>
      <c r="N65" s="228"/>
    </row>
    <row r="66" spans="2:14" s="109" customFormat="1" outlineLevel="1" thickBot="1">
      <c r="B66" s="1165"/>
      <c r="C66" s="1166"/>
      <c r="D66" s="395" t="s">
        <v>407</v>
      </c>
      <c r="E66" s="396" t="s">
        <v>88</v>
      </c>
      <c r="F66" s="468"/>
      <c r="G66" s="397"/>
      <c r="H66" s="397"/>
      <c r="I66" s="398"/>
      <c r="J66" s="398"/>
      <c r="K66" s="551"/>
      <c r="L66" s="1227"/>
      <c r="N66" s="228"/>
    </row>
    <row r="67" spans="2:14" s="109" customFormat="1" thickBot="1">
      <c r="B67" s="442">
        <v>1.7</v>
      </c>
      <c r="C67" s="1167" t="s">
        <v>33</v>
      </c>
      <c r="D67" s="1167"/>
      <c r="E67" s="1167"/>
      <c r="F67" s="464"/>
      <c r="G67" s="444"/>
      <c r="H67" s="444"/>
      <c r="I67" s="444"/>
      <c r="J67" s="444"/>
      <c r="K67" s="445"/>
      <c r="L67" s="446"/>
      <c r="N67" s="228"/>
    </row>
    <row r="68" spans="2:14" s="109" customFormat="1" ht="13" outlineLevel="1">
      <c r="B68" s="1162" t="s">
        <v>528</v>
      </c>
      <c r="C68" s="1163"/>
      <c r="D68" s="400" t="s">
        <v>408</v>
      </c>
      <c r="E68" s="401" t="s">
        <v>88</v>
      </c>
      <c r="F68" s="469"/>
      <c r="G68" s="402"/>
      <c r="H68" s="402"/>
      <c r="I68" s="403"/>
      <c r="J68" s="403"/>
      <c r="K68" s="549"/>
      <c r="L68" s="1225">
        <f>+K70</f>
        <v>27500</v>
      </c>
      <c r="N68" s="228"/>
    </row>
    <row r="69" spans="2:14" s="109" customFormat="1" ht="13" outlineLevel="1">
      <c r="B69" s="1164"/>
      <c r="C69" s="1160"/>
      <c r="D69" s="373" t="s">
        <v>409</v>
      </c>
      <c r="E69" s="374" t="s">
        <v>88</v>
      </c>
      <c r="F69" s="467"/>
      <c r="G69" s="375"/>
      <c r="H69" s="375"/>
      <c r="I69" s="376"/>
      <c r="J69" s="376"/>
      <c r="K69" s="532"/>
      <c r="L69" s="1226"/>
      <c r="N69" s="228"/>
    </row>
    <row r="70" spans="2:14" s="109" customFormat="1" ht="13" outlineLevel="1">
      <c r="B70" s="1164"/>
      <c r="C70" s="1160"/>
      <c r="D70" s="1249" t="s">
        <v>410</v>
      </c>
      <c r="E70" s="370" t="s">
        <v>347</v>
      </c>
      <c r="F70" s="476">
        <f>4000*1.5</f>
        <v>6000</v>
      </c>
      <c r="G70" s="371"/>
      <c r="H70" s="371"/>
      <c r="I70" s="372"/>
      <c r="J70" s="372"/>
      <c r="K70" s="1220">
        <f>+SUM(J71:J74)</f>
        <v>27500</v>
      </c>
      <c r="L70" s="1226"/>
      <c r="N70" s="228"/>
    </row>
    <row r="71" spans="2:14" s="109" customFormat="1" ht="13" outlineLevel="1">
      <c r="B71" s="1164"/>
      <c r="C71" s="1160"/>
      <c r="D71" s="1249"/>
      <c r="E71" s="417" t="s">
        <v>683</v>
      </c>
      <c r="F71" s="466" t="s">
        <v>497</v>
      </c>
      <c r="G71" s="371">
        <v>1</v>
      </c>
      <c r="H71" s="371" t="s">
        <v>358</v>
      </c>
      <c r="I71" s="376">
        <f>+VLOOKUP(E71,'Line items'!$B$3:$D$115,3,FALSE)</f>
        <v>27500</v>
      </c>
      <c r="J71" s="372">
        <f>+I71*G71</f>
        <v>27500</v>
      </c>
      <c r="K71" s="1220"/>
      <c r="L71" s="1226"/>
      <c r="N71" s="228"/>
    </row>
    <row r="72" spans="2:14" s="109" customFormat="1" ht="13" outlineLevel="1">
      <c r="B72" s="1164"/>
      <c r="C72" s="1160"/>
      <c r="D72" s="1249"/>
      <c r="E72" s="417" t="s">
        <v>684</v>
      </c>
      <c r="F72" s="466"/>
      <c r="G72" s="371"/>
      <c r="H72" s="371" t="s">
        <v>358</v>
      </c>
      <c r="I72" s="376">
        <f>+VLOOKUP(E72,'Line items'!$B$3:$D$115,3,FALSE)</f>
        <v>22500</v>
      </c>
      <c r="J72" s="372">
        <f>+I72*G72</f>
        <v>0</v>
      </c>
      <c r="K72" s="1220"/>
      <c r="L72" s="1226"/>
      <c r="N72" s="228"/>
    </row>
    <row r="73" spans="2:14" s="109" customFormat="1" ht="13" outlineLevel="1">
      <c r="B73" s="1164"/>
      <c r="C73" s="1160"/>
      <c r="D73" s="1249"/>
      <c r="E73" s="370" t="s">
        <v>685</v>
      </c>
      <c r="F73" s="466"/>
      <c r="G73" s="371"/>
      <c r="H73" s="371" t="s">
        <v>358</v>
      </c>
      <c r="I73" s="376">
        <f>+VLOOKUP(E73,'Line items'!$B$3:$D$115,3,FALSE)</f>
        <v>87880</v>
      </c>
      <c r="J73" s="372">
        <f>+I73*G73</f>
        <v>0</v>
      </c>
      <c r="K73" s="1220"/>
      <c r="L73" s="1226"/>
      <c r="N73" s="228"/>
    </row>
    <row r="74" spans="2:14" s="109" customFormat="1" outlineLevel="1" thickBot="1">
      <c r="B74" s="1165"/>
      <c r="C74" s="1166"/>
      <c r="D74" s="1250"/>
      <c r="E74" s="439" t="s">
        <v>686</v>
      </c>
      <c r="F74" s="477"/>
      <c r="G74" s="440"/>
      <c r="H74" s="440" t="s">
        <v>358</v>
      </c>
      <c r="I74" s="398">
        <f>+VLOOKUP(E74,'Line items'!$B$3:$D$115,3,FALSE)</f>
        <v>87880</v>
      </c>
      <c r="J74" s="408">
        <f>+I74*G74</f>
        <v>0</v>
      </c>
      <c r="K74" s="1232"/>
      <c r="L74" s="1227"/>
      <c r="N74" s="228"/>
    </row>
    <row r="75" spans="2:14" s="109" customFormat="1" ht="13" outlineLevel="1">
      <c r="B75" s="1162" t="s">
        <v>529</v>
      </c>
      <c r="C75" s="1163"/>
      <c r="D75" s="400" t="s">
        <v>411</v>
      </c>
      <c r="E75" s="401" t="s">
        <v>88</v>
      </c>
      <c r="F75" s="469"/>
      <c r="G75" s="402"/>
      <c r="H75" s="402"/>
      <c r="I75" s="403"/>
      <c r="J75" s="403"/>
      <c r="K75" s="549"/>
      <c r="L75" s="1225">
        <f>+K77</f>
        <v>27500</v>
      </c>
      <c r="N75" s="228"/>
    </row>
    <row r="76" spans="2:14" s="109" customFormat="1" ht="13" outlineLevel="1">
      <c r="B76" s="1164"/>
      <c r="C76" s="1160"/>
      <c r="D76" s="373" t="s">
        <v>412</v>
      </c>
      <c r="E76" s="374" t="s">
        <v>88</v>
      </c>
      <c r="F76" s="467"/>
      <c r="G76" s="375"/>
      <c r="H76" s="375"/>
      <c r="I76" s="376"/>
      <c r="J76" s="376"/>
      <c r="K76" s="532"/>
      <c r="L76" s="1226"/>
      <c r="N76" s="228"/>
    </row>
    <row r="77" spans="2:14" s="109" customFormat="1" ht="13" outlineLevel="1">
      <c r="B77" s="1164"/>
      <c r="C77" s="1160"/>
      <c r="D77" s="1249" t="s">
        <v>413</v>
      </c>
      <c r="E77" s="374" t="s">
        <v>347</v>
      </c>
      <c r="F77" s="478">
        <f>4000*1.5</f>
        <v>6000</v>
      </c>
      <c r="G77" s="375"/>
      <c r="H77" s="375"/>
      <c r="I77" s="376"/>
      <c r="J77" s="376"/>
      <c r="K77" s="1218">
        <f>+SUM(J78:J81)</f>
        <v>27500</v>
      </c>
      <c r="L77" s="1226"/>
      <c r="N77" s="228"/>
    </row>
    <row r="78" spans="2:14" s="109" customFormat="1" ht="13" outlineLevel="1">
      <c r="B78" s="1164"/>
      <c r="C78" s="1160"/>
      <c r="D78" s="1249"/>
      <c r="E78" s="456" t="s">
        <v>683</v>
      </c>
      <c r="F78" s="467" t="s">
        <v>497</v>
      </c>
      <c r="G78" s="375">
        <v>1</v>
      </c>
      <c r="H78" s="375" t="s">
        <v>358</v>
      </c>
      <c r="I78" s="376">
        <f>+VLOOKUP(E78,'Line items'!$B$3:$D$115,3,FALSE)</f>
        <v>27500</v>
      </c>
      <c r="J78" s="376">
        <f>+I78*G78</f>
        <v>27500</v>
      </c>
      <c r="K78" s="1218"/>
      <c r="L78" s="1226"/>
      <c r="N78" s="228"/>
    </row>
    <row r="79" spans="2:14" s="109" customFormat="1" ht="13" outlineLevel="1">
      <c r="B79" s="1164"/>
      <c r="C79" s="1160"/>
      <c r="D79" s="1249"/>
      <c r="E79" s="456" t="s">
        <v>684</v>
      </c>
      <c r="F79" s="467"/>
      <c r="G79" s="375"/>
      <c r="H79" s="375" t="s">
        <v>358</v>
      </c>
      <c r="I79" s="376">
        <f>+VLOOKUP(E79,'Line items'!$B$3:$D$115,3,FALSE)</f>
        <v>22500</v>
      </c>
      <c r="J79" s="376">
        <f>+I79*G79</f>
        <v>0</v>
      </c>
      <c r="K79" s="1218"/>
      <c r="L79" s="1226"/>
      <c r="N79" s="228"/>
    </row>
    <row r="80" spans="2:14" s="109" customFormat="1" ht="13" outlineLevel="1">
      <c r="B80" s="1164"/>
      <c r="C80" s="1160"/>
      <c r="D80" s="1249"/>
      <c r="E80" s="374" t="s">
        <v>685</v>
      </c>
      <c r="F80" s="467"/>
      <c r="G80" s="375"/>
      <c r="H80" s="375" t="s">
        <v>358</v>
      </c>
      <c r="I80" s="376">
        <f>+VLOOKUP(E80,'Line items'!$B$3:$D$115,3,FALSE)</f>
        <v>87880</v>
      </c>
      <c r="J80" s="376">
        <f>+I80*G80</f>
        <v>0</v>
      </c>
      <c r="K80" s="1218"/>
      <c r="L80" s="1226"/>
      <c r="N80" s="228"/>
    </row>
    <row r="81" spans="2:14" s="109" customFormat="1" outlineLevel="1" thickBot="1">
      <c r="B81" s="1165"/>
      <c r="C81" s="1166"/>
      <c r="D81" s="1250"/>
      <c r="E81" s="396" t="s">
        <v>686</v>
      </c>
      <c r="F81" s="468"/>
      <c r="G81" s="397"/>
      <c r="H81" s="397" t="s">
        <v>358</v>
      </c>
      <c r="I81" s="398">
        <f>+VLOOKUP(E81,'Line items'!$B$3:$D$115,3,FALSE)</f>
        <v>87880</v>
      </c>
      <c r="J81" s="398">
        <f>+I81*G81</f>
        <v>0</v>
      </c>
      <c r="K81" s="1223"/>
      <c r="L81" s="1227"/>
      <c r="N81" s="228"/>
    </row>
    <row r="82" spans="2:14" s="109" customFormat="1" ht="13" outlineLevel="1">
      <c r="B82" s="1162" t="s">
        <v>530</v>
      </c>
      <c r="C82" s="1163"/>
      <c r="D82" s="400" t="s">
        <v>414</v>
      </c>
      <c r="E82" s="401" t="s">
        <v>88</v>
      </c>
      <c r="F82" s="469"/>
      <c r="G82" s="402"/>
      <c r="H82" s="402"/>
      <c r="I82" s="403"/>
      <c r="J82" s="403"/>
      <c r="K82" s="549"/>
      <c r="L82" s="1225">
        <f>+K84</f>
        <v>27500</v>
      </c>
      <c r="N82" s="228"/>
    </row>
    <row r="83" spans="2:14" s="109" customFormat="1" ht="13" outlineLevel="1">
      <c r="B83" s="1164"/>
      <c r="C83" s="1160"/>
      <c r="D83" s="373" t="s">
        <v>415</v>
      </c>
      <c r="E83" s="374" t="s">
        <v>88</v>
      </c>
      <c r="F83" s="467"/>
      <c r="G83" s="375"/>
      <c r="H83" s="375"/>
      <c r="I83" s="376"/>
      <c r="J83" s="376"/>
      <c r="K83" s="532"/>
      <c r="L83" s="1226"/>
      <c r="N83" s="228"/>
    </row>
    <row r="84" spans="2:14" s="109" customFormat="1" ht="13" outlineLevel="1">
      <c r="B84" s="1164"/>
      <c r="C84" s="1160"/>
      <c r="D84" s="1249" t="s">
        <v>416</v>
      </c>
      <c r="E84" s="374" t="s">
        <v>347</v>
      </c>
      <c r="F84" s="478">
        <f>4000*1.5</f>
        <v>6000</v>
      </c>
      <c r="G84" s="375"/>
      <c r="H84" s="375"/>
      <c r="I84" s="376"/>
      <c r="J84" s="376"/>
      <c r="K84" s="1218">
        <f>+SUM(J85:J88)</f>
        <v>27500</v>
      </c>
      <c r="L84" s="1226"/>
      <c r="N84" s="228"/>
    </row>
    <row r="85" spans="2:14" s="109" customFormat="1" ht="13" outlineLevel="1">
      <c r="B85" s="1164"/>
      <c r="C85" s="1160"/>
      <c r="D85" s="1249"/>
      <c r="E85" s="456" t="s">
        <v>683</v>
      </c>
      <c r="F85" s="467" t="s">
        <v>497</v>
      </c>
      <c r="G85" s="375">
        <v>1</v>
      </c>
      <c r="H85" s="375" t="s">
        <v>358</v>
      </c>
      <c r="I85" s="376">
        <f>+VLOOKUP(E85,'Line items'!$B$3:$D$115,3,FALSE)</f>
        <v>27500</v>
      </c>
      <c r="J85" s="376">
        <f>+I85*G85</f>
        <v>27500</v>
      </c>
      <c r="K85" s="1218"/>
      <c r="L85" s="1226"/>
      <c r="N85" s="228"/>
    </row>
    <row r="86" spans="2:14" s="109" customFormat="1" ht="13" outlineLevel="1">
      <c r="B86" s="1164"/>
      <c r="C86" s="1160"/>
      <c r="D86" s="1249"/>
      <c r="E86" s="456" t="s">
        <v>684</v>
      </c>
      <c r="F86" s="467"/>
      <c r="G86" s="375"/>
      <c r="H86" s="375" t="s">
        <v>358</v>
      </c>
      <c r="I86" s="376">
        <f>+VLOOKUP(E86,'Line items'!$B$3:$D$115,3,FALSE)</f>
        <v>22500</v>
      </c>
      <c r="J86" s="376">
        <f>+I86*G86</f>
        <v>0</v>
      </c>
      <c r="K86" s="1218"/>
      <c r="L86" s="1226"/>
      <c r="N86" s="228"/>
    </row>
    <row r="87" spans="2:14" s="109" customFormat="1" ht="13" outlineLevel="1">
      <c r="B87" s="1164"/>
      <c r="C87" s="1160"/>
      <c r="D87" s="1249"/>
      <c r="E87" s="374" t="s">
        <v>685</v>
      </c>
      <c r="F87" s="467"/>
      <c r="G87" s="375"/>
      <c r="H87" s="375" t="s">
        <v>358</v>
      </c>
      <c r="I87" s="376">
        <f>+VLOOKUP(E87,'Line items'!$B$3:$D$115,3,FALSE)</f>
        <v>87880</v>
      </c>
      <c r="J87" s="376">
        <f>+I87*G87</f>
        <v>0</v>
      </c>
      <c r="K87" s="1218"/>
      <c r="L87" s="1226"/>
      <c r="N87" s="228"/>
    </row>
    <row r="88" spans="2:14" s="109" customFormat="1" outlineLevel="1" thickBot="1">
      <c r="B88" s="1165"/>
      <c r="C88" s="1166"/>
      <c r="D88" s="1250"/>
      <c r="E88" s="396" t="s">
        <v>686</v>
      </c>
      <c r="F88" s="468"/>
      <c r="G88" s="397"/>
      <c r="H88" s="397" t="s">
        <v>358</v>
      </c>
      <c r="I88" s="398">
        <f>+VLOOKUP(E88,'Line items'!$B$3:$D$115,3,FALSE)</f>
        <v>87880</v>
      </c>
      <c r="J88" s="398">
        <f>+I88*G88</f>
        <v>0</v>
      </c>
      <c r="K88" s="1223"/>
      <c r="L88" s="1227"/>
      <c r="N88" s="228"/>
    </row>
    <row r="89" spans="2:14" s="109" customFormat="1" ht="13" outlineLevel="1">
      <c r="B89" s="1162" t="s">
        <v>531</v>
      </c>
      <c r="C89" s="1163"/>
      <c r="D89" s="400" t="s">
        <v>417</v>
      </c>
      <c r="E89" s="401" t="s">
        <v>88</v>
      </c>
      <c r="F89" s="469"/>
      <c r="G89" s="402"/>
      <c r="H89" s="402"/>
      <c r="I89" s="403"/>
      <c r="J89" s="403"/>
      <c r="K89" s="549"/>
      <c r="L89" s="1225">
        <f>+K91</f>
        <v>27500</v>
      </c>
      <c r="N89" s="228"/>
    </row>
    <row r="90" spans="2:14" s="109" customFormat="1" ht="13" outlineLevel="1">
      <c r="B90" s="1164"/>
      <c r="C90" s="1160"/>
      <c r="D90" s="373" t="s">
        <v>418</v>
      </c>
      <c r="E90" s="374" t="s">
        <v>88</v>
      </c>
      <c r="F90" s="467"/>
      <c r="G90" s="375"/>
      <c r="H90" s="375"/>
      <c r="I90" s="376"/>
      <c r="J90" s="376"/>
      <c r="K90" s="532"/>
      <c r="L90" s="1226"/>
      <c r="N90" s="228"/>
    </row>
    <row r="91" spans="2:14" s="109" customFormat="1" ht="13" outlineLevel="1">
      <c r="B91" s="1164"/>
      <c r="C91" s="1160"/>
      <c r="D91" s="1249" t="s">
        <v>419</v>
      </c>
      <c r="E91" s="374" t="s">
        <v>347</v>
      </c>
      <c r="F91" s="478">
        <f>4000*1.5</f>
        <v>6000</v>
      </c>
      <c r="G91" s="375"/>
      <c r="H91" s="375"/>
      <c r="I91" s="376"/>
      <c r="J91" s="376"/>
      <c r="K91" s="1218">
        <f>+SUM(J92:J95)</f>
        <v>27500</v>
      </c>
      <c r="L91" s="1226"/>
      <c r="N91" s="228"/>
    </row>
    <row r="92" spans="2:14" s="109" customFormat="1" ht="13" outlineLevel="1">
      <c r="B92" s="1164"/>
      <c r="C92" s="1160"/>
      <c r="D92" s="1249"/>
      <c r="E92" s="456" t="s">
        <v>683</v>
      </c>
      <c r="F92" s="467" t="s">
        <v>497</v>
      </c>
      <c r="G92" s="375">
        <v>1</v>
      </c>
      <c r="H92" s="375" t="s">
        <v>358</v>
      </c>
      <c r="I92" s="376">
        <f>+VLOOKUP(E92,'Line items'!$B$3:$D$115,3,FALSE)</f>
        <v>27500</v>
      </c>
      <c r="J92" s="376">
        <f>+I92*G92</f>
        <v>27500</v>
      </c>
      <c r="K92" s="1218"/>
      <c r="L92" s="1226"/>
      <c r="N92" s="228"/>
    </row>
    <row r="93" spans="2:14" s="109" customFormat="1" ht="13" outlineLevel="1">
      <c r="B93" s="1164"/>
      <c r="C93" s="1160"/>
      <c r="D93" s="1249"/>
      <c r="E93" s="456" t="s">
        <v>684</v>
      </c>
      <c r="F93" s="467"/>
      <c r="G93" s="375"/>
      <c r="H93" s="375" t="s">
        <v>358</v>
      </c>
      <c r="I93" s="376">
        <f>+VLOOKUP(E93,'Line items'!$B$3:$D$115,3,FALSE)</f>
        <v>22500</v>
      </c>
      <c r="J93" s="376">
        <f>+I93*G93</f>
        <v>0</v>
      </c>
      <c r="K93" s="1218"/>
      <c r="L93" s="1226"/>
      <c r="N93" s="228"/>
    </row>
    <row r="94" spans="2:14" s="109" customFormat="1" ht="13" outlineLevel="1">
      <c r="B94" s="1164"/>
      <c r="C94" s="1160"/>
      <c r="D94" s="1249"/>
      <c r="E94" s="374" t="s">
        <v>685</v>
      </c>
      <c r="F94" s="467"/>
      <c r="G94" s="375"/>
      <c r="H94" s="375" t="s">
        <v>358</v>
      </c>
      <c r="I94" s="376">
        <f>+VLOOKUP(E94,'Line items'!$B$3:$D$115,3,FALSE)</f>
        <v>87880</v>
      </c>
      <c r="J94" s="376">
        <f>+I94*G94</f>
        <v>0</v>
      </c>
      <c r="K94" s="1218"/>
      <c r="L94" s="1226"/>
      <c r="N94" s="228"/>
    </row>
    <row r="95" spans="2:14" s="109" customFormat="1" outlineLevel="1" thickBot="1">
      <c r="B95" s="1165"/>
      <c r="C95" s="1166"/>
      <c r="D95" s="1250"/>
      <c r="E95" s="396" t="s">
        <v>686</v>
      </c>
      <c r="F95" s="468"/>
      <c r="G95" s="397"/>
      <c r="H95" s="397" t="s">
        <v>358</v>
      </c>
      <c r="I95" s="398">
        <f>+VLOOKUP(E95,'Line items'!$B$3:$D$115,3,FALSE)</f>
        <v>87880</v>
      </c>
      <c r="J95" s="398">
        <f>+I95*G95</f>
        <v>0</v>
      </c>
      <c r="K95" s="1223"/>
      <c r="L95" s="1227"/>
      <c r="N95" s="228"/>
    </row>
    <row r="96" spans="2:14" s="109" customFormat="1" thickBot="1">
      <c r="B96" s="442">
        <v>1.8</v>
      </c>
      <c r="C96" s="1167" t="s">
        <v>22</v>
      </c>
      <c r="D96" s="1167"/>
      <c r="E96" s="1167"/>
      <c r="F96" s="464"/>
      <c r="G96" s="444"/>
      <c r="H96" s="444"/>
      <c r="I96" s="444"/>
      <c r="J96" s="444"/>
      <c r="K96" s="445"/>
      <c r="L96" s="446"/>
      <c r="N96" s="228"/>
    </row>
    <row r="97" spans="2:14" s="109" customFormat="1" ht="13" outlineLevel="1">
      <c r="B97" s="1162" t="s">
        <v>532</v>
      </c>
      <c r="C97" s="1163"/>
      <c r="D97" s="400" t="s">
        <v>420</v>
      </c>
      <c r="E97" s="392" t="s">
        <v>682</v>
      </c>
      <c r="F97" s="465" t="s">
        <v>500</v>
      </c>
      <c r="G97" s="393">
        <v>3</v>
      </c>
      <c r="H97" s="393" t="s">
        <v>364</v>
      </c>
      <c r="I97" s="403">
        <f>+VLOOKUP(E97,'Line items'!$B$3:$D$115,3,FALSE)</f>
        <v>500</v>
      </c>
      <c r="J97" s="394">
        <f>+I97*G97</f>
        <v>1500</v>
      </c>
      <c r="K97" s="552">
        <f>+J97</f>
        <v>1500</v>
      </c>
      <c r="L97" s="1225">
        <f>+SUM(K97:K99)</f>
        <v>1500</v>
      </c>
      <c r="N97" s="228"/>
    </row>
    <row r="98" spans="2:14" s="109" customFormat="1" ht="13" outlineLevel="1">
      <c r="B98" s="1164"/>
      <c r="C98" s="1160"/>
      <c r="D98" s="373" t="s">
        <v>421</v>
      </c>
      <c r="E98" s="374" t="s">
        <v>88</v>
      </c>
      <c r="F98" s="467"/>
      <c r="G98" s="375"/>
      <c r="H98" s="375"/>
      <c r="I98" s="376"/>
      <c r="J98" s="376"/>
      <c r="K98" s="534"/>
      <c r="L98" s="1226"/>
      <c r="N98" s="228"/>
    </row>
    <row r="99" spans="2:14" s="109" customFormat="1" outlineLevel="1" thickBot="1">
      <c r="B99" s="1165"/>
      <c r="C99" s="1166"/>
      <c r="D99" s="395" t="s">
        <v>422</v>
      </c>
      <c r="E99" s="396" t="s">
        <v>88</v>
      </c>
      <c r="F99" s="468"/>
      <c r="G99" s="397"/>
      <c r="H99" s="397"/>
      <c r="I99" s="398"/>
      <c r="J99" s="398"/>
      <c r="K99" s="551"/>
      <c r="L99" s="1227"/>
      <c r="N99" s="228"/>
    </row>
    <row r="100" spans="2:14" s="109" customFormat="1" ht="13" outlineLevel="1">
      <c r="B100" s="1162" t="s">
        <v>533</v>
      </c>
      <c r="C100" s="1163"/>
      <c r="D100" s="1248" t="s">
        <v>423</v>
      </c>
      <c r="E100" s="401" t="s">
        <v>315</v>
      </c>
      <c r="F100" s="469"/>
      <c r="G100" s="402">
        <v>1</v>
      </c>
      <c r="H100" s="402" t="s">
        <v>364</v>
      </c>
      <c r="I100" s="403">
        <f>+VLOOKUP(E100,'Line items'!$B$3:$D$115,3,FALSE)</f>
        <v>5000</v>
      </c>
      <c r="J100" s="403">
        <f>+I100*G100</f>
        <v>5000</v>
      </c>
      <c r="K100" s="1186">
        <f>+SUM(J100:J101)</f>
        <v>65000</v>
      </c>
      <c r="L100" s="1225">
        <f>+SUM(K100:K103)</f>
        <v>65000</v>
      </c>
      <c r="N100" s="228"/>
    </row>
    <row r="101" spans="2:14" s="109" customFormat="1" ht="13" outlineLevel="1">
      <c r="B101" s="1164"/>
      <c r="C101" s="1160"/>
      <c r="D101" s="1249"/>
      <c r="E101" s="374" t="s">
        <v>700</v>
      </c>
      <c r="F101" s="467"/>
      <c r="G101" s="375">
        <v>300</v>
      </c>
      <c r="H101" s="375" t="s">
        <v>360</v>
      </c>
      <c r="I101" s="376">
        <f>+VLOOKUP(E101,'Line items'!$B$3:$D$115,3,FALSE)</f>
        <v>200</v>
      </c>
      <c r="J101" s="376">
        <f>+I101*G101</f>
        <v>60000</v>
      </c>
      <c r="K101" s="1180"/>
      <c r="L101" s="1226"/>
      <c r="N101" s="228"/>
    </row>
    <row r="102" spans="2:14" s="109" customFormat="1" ht="13" outlineLevel="1">
      <c r="B102" s="1164"/>
      <c r="C102" s="1160"/>
      <c r="D102" s="373" t="s">
        <v>424</v>
      </c>
      <c r="E102" s="374" t="s">
        <v>88</v>
      </c>
      <c r="F102" s="467"/>
      <c r="G102" s="375"/>
      <c r="H102" s="375"/>
      <c r="I102" s="376"/>
      <c r="J102" s="376"/>
      <c r="K102" s="534"/>
      <c r="L102" s="1226"/>
      <c r="N102" s="228"/>
    </row>
    <row r="103" spans="2:14" s="109" customFormat="1" outlineLevel="1" thickBot="1">
      <c r="B103" s="1172"/>
      <c r="C103" s="1161"/>
      <c r="D103" s="381" t="s">
        <v>425</v>
      </c>
      <c r="E103" s="427"/>
      <c r="F103" s="488"/>
      <c r="G103" s="428"/>
      <c r="H103" s="428"/>
      <c r="I103" s="426"/>
      <c r="J103" s="426"/>
      <c r="K103" s="542"/>
      <c r="L103" s="1228"/>
      <c r="N103" s="228"/>
    </row>
    <row r="104" spans="2:14" s="109" customFormat="1" thickBot="1">
      <c r="B104" s="490">
        <v>2</v>
      </c>
      <c r="C104" s="491" t="s">
        <v>316</v>
      </c>
      <c r="D104" s="492"/>
      <c r="E104" s="493"/>
      <c r="F104" s="494"/>
      <c r="G104" s="495"/>
      <c r="H104" s="495"/>
      <c r="I104" s="496"/>
      <c r="J104" s="496"/>
      <c r="K104" s="560"/>
      <c r="L104" s="561"/>
      <c r="N104" s="228"/>
    </row>
    <row r="105" spans="2:14" s="109" customFormat="1" thickBot="1">
      <c r="B105" s="499">
        <v>2.1</v>
      </c>
      <c r="C105" s="1210" t="s">
        <v>34</v>
      </c>
      <c r="D105" s="1210"/>
      <c r="E105" s="1210"/>
      <c r="F105" s="500"/>
      <c r="G105" s="501"/>
      <c r="H105" s="501"/>
      <c r="I105" s="502"/>
      <c r="J105" s="502"/>
      <c r="K105" s="562"/>
      <c r="L105" s="563"/>
      <c r="N105" s="228"/>
    </row>
    <row r="106" spans="2:14" s="109" customFormat="1" ht="13" outlineLevel="1">
      <c r="B106" s="1162" t="s">
        <v>534</v>
      </c>
      <c r="C106" s="1163"/>
      <c r="D106" s="1248" t="s">
        <v>427</v>
      </c>
      <c r="E106" s="401" t="s">
        <v>348</v>
      </c>
      <c r="F106" s="469"/>
      <c r="G106" s="402"/>
      <c r="H106" s="402"/>
      <c r="I106" s="403"/>
      <c r="J106" s="403"/>
      <c r="K106" s="1217">
        <f>+SUM(J106:J108)</f>
        <v>3300</v>
      </c>
      <c r="L106" s="1225">
        <f>+SUM(K106:K110)</f>
        <v>4300</v>
      </c>
      <c r="N106" s="228"/>
    </row>
    <row r="107" spans="2:14" s="109" customFormat="1" ht="13" outlineLevel="1">
      <c r="B107" s="1164"/>
      <c r="C107" s="1160"/>
      <c r="D107" s="1249"/>
      <c r="E107" s="370" t="s">
        <v>710</v>
      </c>
      <c r="F107" s="467"/>
      <c r="G107" s="375">
        <v>1</v>
      </c>
      <c r="H107" s="375" t="s">
        <v>358</v>
      </c>
      <c r="I107" s="376">
        <f>+VLOOKUP(E107,'Line items'!$B$3:$D$115,3,FALSE)</f>
        <v>1550</v>
      </c>
      <c r="J107" s="376">
        <f>+I107*G107</f>
        <v>1550</v>
      </c>
      <c r="K107" s="1218"/>
      <c r="L107" s="1226"/>
      <c r="N107" s="228"/>
    </row>
    <row r="108" spans="2:14" s="109" customFormat="1" ht="13" outlineLevel="1">
      <c r="B108" s="1164"/>
      <c r="C108" s="1160"/>
      <c r="D108" s="1249"/>
      <c r="E108" s="370" t="s">
        <v>711</v>
      </c>
      <c r="F108" s="467"/>
      <c r="G108" s="375">
        <v>1</v>
      </c>
      <c r="H108" s="375" t="s">
        <v>358</v>
      </c>
      <c r="I108" s="376">
        <f>+VLOOKUP(E108,'Line items'!$B$3:$D$115,3,FALSE)</f>
        <v>1750</v>
      </c>
      <c r="J108" s="376">
        <f>+I108*G108</f>
        <v>1750</v>
      </c>
      <c r="K108" s="1218"/>
      <c r="L108" s="1226"/>
      <c r="N108" s="228"/>
    </row>
    <row r="109" spans="2:14" s="109" customFormat="1" ht="13" outlineLevel="1">
      <c r="B109" s="1164"/>
      <c r="C109" s="1160"/>
      <c r="D109" s="373" t="s">
        <v>428</v>
      </c>
      <c r="E109" s="374" t="s">
        <v>88</v>
      </c>
      <c r="F109" s="467"/>
      <c r="G109" s="375"/>
      <c r="H109" s="375"/>
      <c r="I109" s="376"/>
      <c r="J109" s="376"/>
      <c r="K109" s="534"/>
      <c r="L109" s="1226"/>
      <c r="N109" s="228"/>
    </row>
    <row r="110" spans="2:14" s="109" customFormat="1" outlineLevel="1" thickBot="1">
      <c r="B110" s="1165"/>
      <c r="C110" s="1166"/>
      <c r="D110" s="395" t="s">
        <v>429</v>
      </c>
      <c r="E110" s="396" t="s">
        <v>191</v>
      </c>
      <c r="F110" s="468"/>
      <c r="G110" s="397">
        <v>100</v>
      </c>
      <c r="H110" s="397" t="s">
        <v>360</v>
      </c>
      <c r="I110" s="398">
        <f>+VLOOKUP(E110,'Line items'!$B$3:$D$115,3,FALSE)</f>
        <v>10</v>
      </c>
      <c r="J110" s="398">
        <f>+I110*G110</f>
        <v>1000</v>
      </c>
      <c r="K110" s="548">
        <f>+J110</f>
        <v>1000</v>
      </c>
      <c r="L110" s="1227"/>
      <c r="N110" s="228"/>
    </row>
    <row r="111" spans="2:14" s="109" customFormat="1" ht="13" outlineLevel="1">
      <c r="B111" s="1162" t="s">
        <v>535</v>
      </c>
      <c r="C111" s="1163"/>
      <c r="D111" s="1248" t="s">
        <v>430</v>
      </c>
      <c r="E111" s="401" t="s">
        <v>349</v>
      </c>
      <c r="F111" s="469" t="s">
        <v>318</v>
      </c>
      <c r="G111" s="402">
        <v>100</v>
      </c>
      <c r="H111" s="402" t="s">
        <v>360</v>
      </c>
      <c r="I111" s="403">
        <f>+VLOOKUP(E111,'Line items'!$B$3:$D$115,3,FALSE)</f>
        <v>40</v>
      </c>
      <c r="J111" s="403">
        <f>+I111*G111</f>
        <v>4000</v>
      </c>
      <c r="K111" s="1217">
        <f>+SUM(J111:J113)</f>
        <v>6450</v>
      </c>
      <c r="L111" s="1225">
        <f>+SUM(K111:K115)</f>
        <v>7450</v>
      </c>
      <c r="N111" s="228"/>
    </row>
    <row r="112" spans="2:14" s="109" customFormat="1" ht="13" outlineLevel="1">
      <c r="B112" s="1164"/>
      <c r="C112" s="1160"/>
      <c r="D112" s="1249"/>
      <c r="E112" s="370" t="s">
        <v>711</v>
      </c>
      <c r="F112" s="467"/>
      <c r="G112" s="375">
        <v>1</v>
      </c>
      <c r="H112" s="375" t="s">
        <v>358</v>
      </c>
      <c r="I112" s="376">
        <f>+VLOOKUP(E112,'Line items'!$B$3:$D$115,3,FALSE)</f>
        <v>1750</v>
      </c>
      <c r="J112" s="376">
        <f>+I112*G112</f>
        <v>1750</v>
      </c>
      <c r="K112" s="1218"/>
      <c r="L112" s="1226"/>
      <c r="N112" s="228"/>
    </row>
    <row r="113" spans="2:14" s="109" customFormat="1" ht="13" outlineLevel="1">
      <c r="B113" s="1164"/>
      <c r="C113" s="1160"/>
      <c r="D113" s="1249"/>
      <c r="E113" s="374" t="s">
        <v>705</v>
      </c>
      <c r="F113" s="467"/>
      <c r="G113" s="375">
        <v>1</v>
      </c>
      <c r="H113" s="375" t="s">
        <v>358</v>
      </c>
      <c r="I113" s="376">
        <f>+VLOOKUP(E113,'Line items'!$B$3:$D$115,3,FALSE)</f>
        <v>700</v>
      </c>
      <c r="J113" s="376">
        <f>+I113*G113</f>
        <v>700</v>
      </c>
      <c r="K113" s="1218"/>
      <c r="L113" s="1226"/>
      <c r="N113" s="228"/>
    </row>
    <row r="114" spans="2:14" s="109" customFormat="1" ht="13" outlineLevel="1">
      <c r="B114" s="1164"/>
      <c r="C114" s="1160"/>
      <c r="D114" s="373" t="s">
        <v>431</v>
      </c>
      <c r="E114" s="374" t="s">
        <v>88</v>
      </c>
      <c r="F114" s="467"/>
      <c r="G114" s="375"/>
      <c r="H114" s="375"/>
      <c r="I114" s="376"/>
      <c r="J114" s="376"/>
      <c r="K114" s="534"/>
      <c r="L114" s="1226"/>
      <c r="N114" s="228"/>
    </row>
    <row r="115" spans="2:14" s="109" customFormat="1" outlineLevel="1" thickBot="1">
      <c r="B115" s="1165"/>
      <c r="C115" s="1166"/>
      <c r="D115" s="395" t="s">
        <v>432</v>
      </c>
      <c r="E115" s="505" t="s">
        <v>191</v>
      </c>
      <c r="F115" s="468"/>
      <c r="G115" s="397">
        <v>100</v>
      </c>
      <c r="H115" s="397" t="s">
        <v>360</v>
      </c>
      <c r="I115" s="398">
        <f>+VLOOKUP(E115,'Line items'!$B$3:$D$115,3,FALSE)</f>
        <v>10</v>
      </c>
      <c r="J115" s="398">
        <f>+I115*G115</f>
        <v>1000</v>
      </c>
      <c r="K115" s="548">
        <f>+J115</f>
        <v>1000</v>
      </c>
      <c r="L115" s="1227"/>
      <c r="N115" s="228"/>
    </row>
    <row r="116" spans="2:14" s="109" customFormat="1" thickBot="1">
      <c r="B116" s="499">
        <v>2.2000000000000002</v>
      </c>
      <c r="C116" s="1210" t="s">
        <v>37</v>
      </c>
      <c r="D116" s="1210"/>
      <c r="E116" s="1210"/>
      <c r="F116" s="500"/>
      <c r="G116" s="501"/>
      <c r="H116" s="501"/>
      <c r="I116" s="502"/>
      <c r="J116" s="502"/>
      <c r="K116" s="562"/>
      <c r="L116" s="563"/>
      <c r="N116" s="228"/>
    </row>
    <row r="117" spans="2:14" s="109" customFormat="1" ht="13" outlineLevel="1">
      <c r="B117" s="1162" t="s">
        <v>536</v>
      </c>
      <c r="C117" s="1163"/>
      <c r="D117" s="400" t="s">
        <v>433</v>
      </c>
      <c r="E117" s="401" t="s">
        <v>88</v>
      </c>
      <c r="F117" s="469"/>
      <c r="G117" s="402"/>
      <c r="H117" s="402"/>
      <c r="I117" s="403"/>
      <c r="J117" s="403"/>
      <c r="K117" s="557"/>
      <c r="L117" s="1225">
        <f>+SUM(K117:K120)</f>
        <v>450</v>
      </c>
      <c r="N117" s="228"/>
    </row>
    <row r="118" spans="2:14" s="109" customFormat="1" ht="13" outlineLevel="1">
      <c r="B118" s="1164"/>
      <c r="C118" s="1160"/>
      <c r="D118" s="373" t="s">
        <v>434</v>
      </c>
      <c r="E118" s="374" t="s">
        <v>88</v>
      </c>
      <c r="F118" s="467"/>
      <c r="G118" s="375"/>
      <c r="H118" s="375"/>
      <c r="I118" s="376"/>
      <c r="J118" s="376"/>
      <c r="K118" s="534"/>
      <c r="L118" s="1226"/>
      <c r="N118" s="228"/>
    </row>
    <row r="119" spans="2:14" s="109" customFormat="1" ht="13" outlineLevel="1">
      <c r="B119" s="1164"/>
      <c r="C119" s="1160"/>
      <c r="D119" s="1249" t="s">
        <v>435</v>
      </c>
      <c r="E119" s="370" t="s">
        <v>707</v>
      </c>
      <c r="F119" s="467" t="s">
        <v>500</v>
      </c>
      <c r="G119" s="375">
        <v>3</v>
      </c>
      <c r="H119" s="375" t="s">
        <v>364</v>
      </c>
      <c r="I119" s="376">
        <f>+VLOOKUP(E119,'Line items'!$B$3:$D$115,3,FALSE)</f>
        <v>150</v>
      </c>
      <c r="J119" s="376">
        <f>+I119*G119</f>
        <v>450</v>
      </c>
      <c r="K119" s="1192">
        <f>+SUM(J119:J120)</f>
        <v>450</v>
      </c>
      <c r="L119" s="1226"/>
      <c r="N119" s="228"/>
    </row>
    <row r="120" spans="2:14" s="109" customFormat="1" outlineLevel="1" thickBot="1">
      <c r="B120" s="1165"/>
      <c r="C120" s="1166"/>
      <c r="D120" s="1250"/>
      <c r="E120" s="396"/>
      <c r="F120" s="468"/>
      <c r="G120" s="397"/>
      <c r="H120" s="397"/>
      <c r="I120" s="398"/>
      <c r="J120" s="398"/>
      <c r="K120" s="1182"/>
      <c r="L120" s="1227"/>
      <c r="N120" s="228"/>
    </row>
    <row r="121" spans="2:14" s="109" customFormat="1" ht="13" outlineLevel="1">
      <c r="B121" s="1162" t="s">
        <v>537</v>
      </c>
      <c r="C121" s="1163"/>
      <c r="D121" s="400" t="s">
        <v>436</v>
      </c>
      <c r="E121" s="401" t="s">
        <v>88</v>
      </c>
      <c r="F121" s="469"/>
      <c r="G121" s="402"/>
      <c r="H121" s="402"/>
      <c r="I121" s="403"/>
      <c r="J121" s="403"/>
      <c r="K121" s="557"/>
      <c r="L121" s="1225">
        <f>+SUM(K121:K124)</f>
        <v>9650</v>
      </c>
      <c r="N121" s="228"/>
    </row>
    <row r="122" spans="2:14" s="109" customFormat="1" ht="13" outlineLevel="1">
      <c r="B122" s="1164"/>
      <c r="C122" s="1160"/>
      <c r="D122" s="373" t="s">
        <v>437</v>
      </c>
      <c r="E122" s="374" t="s">
        <v>88</v>
      </c>
      <c r="F122" s="467"/>
      <c r="G122" s="375"/>
      <c r="H122" s="375"/>
      <c r="I122" s="376"/>
      <c r="J122" s="376"/>
      <c r="K122" s="534"/>
      <c r="L122" s="1226"/>
      <c r="N122" s="228"/>
    </row>
    <row r="123" spans="2:14" s="109" customFormat="1" ht="13" outlineLevel="1">
      <c r="B123" s="1164"/>
      <c r="C123" s="1160"/>
      <c r="D123" s="1249" t="s">
        <v>447</v>
      </c>
      <c r="E123" s="374" t="s">
        <v>319</v>
      </c>
      <c r="F123" s="467"/>
      <c r="G123" s="375"/>
      <c r="H123" s="375"/>
      <c r="I123" s="376"/>
      <c r="J123" s="376"/>
      <c r="K123" s="1192">
        <f>+SUM(J123:J124)</f>
        <v>9650</v>
      </c>
      <c r="L123" s="1226"/>
      <c r="N123" s="228"/>
    </row>
    <row r="124" spans="2:14" s="109" customFormat="1" outlineLevel="1" thickBot="1">
      <c r="B124" s="1165"/>
      <c r="C124" s="1166"/>
      <c r="D124" s="1250"/>
      <c r="E124" s="439" t="s">
        <v>728</v>
      </c>
      <c r="F124" s="468"/>
      <c r="G124" s="397">
        <v>1</v>
      </c>
      <c r="H124" s="397" t="s">
        <v>364</v>
      </c>
      <c r="I124" s="398">
        <f>+VLOOKUP(E124,'Line items'!$B$3:$D$115,3,FALSE)</f>
        <v>9650</v>
      </c>
      <c r="J124" s="398">
        <f>+I124*G124</f>
        <v>9650</v>
      </c>
      <c r="K124" s="1182"/>
      <c r="L124" s="1227"/>
      <c r="N124" s="228"/>
    </row>
    <row r="125" spans="2:14" s="109" customFormat="1" ht="13" outlineLevel="1">
      <c r="B125" s="1162" t="s">
        <v>538</v>
      </c>
      <c r="C125" s="1163"/>
      <c r="D125" s="1248" t="s">
        <v>438</v>
      </c>
      <c r="E125" s="401"/>
      <c r="F125" s="469"/>
      <c r="G125" s="402"/>
      <c r="H125" s="402"/>
      <c r="I125" s="403"/>
      <c r="J125" s="403"/>
      <c r="K125" s="1217">
        <f>+SUM(J125:J127)</f>
        <v>12650</v>
      </c>
      <c r="L125" s="1225">
        <f>+SUM(K125:K129)</f>
        <v>13650</v>
      </c>
      <c r="N125" s="228"/>
    </row>
    <row r="126" spans="2:14" s="109" customFormat="1" ht="13" outlineLevel="1">
      <c r="B126" s="1164"/>
      <c r="C126" s="1160"/>
      <c r="D126" s="1249"/>
      <c r="E126" s="374" t="s">
        <v>346</v>
      </c>
      <c r="F126" s="467"/>
      <c r="G126" s="375">
        <v>100</v>
      </c>
      <c r="H126" s="375" t="s">
        <v>360</v>
      </c>
      <c r="I126" s="376">
        <f>+VLOOKUP(E126,'Line items'!$B$3:$D$115,3,FALSE)</f>
        <v>30</v>
      </c>
      <c r="J126" s="376">
        <f>+I126*G126</f>
        <v>3000</v>
      </c>
      <c r="K126" s="1218"/>
      <c r="L126" s="1226"/>
      <c r="N126" s="228"/>
    </row>
    <row r="127" spans="2:14" s="109" customFormat="1" ht="13" outlineLevel="1">
      <c r="B127" s="1164"/>
      <c r="C127" s="1160"/>
      <c r="D127" s="1249"/>
      <c r="E127" s="370" t="s">
        <v>728</v>
      </c>
      <c r="F127" s="467"/>
      <c r="G127" s="375">
        <v>1</v>
      </c>
      <c r="H127" s="375" t="s">
        <v>364</v>
      </c>
      <c r="I127" s="376">
        <f>+VLOOKUP(E127,'Line items'!$B$3:$D$115,3,FALSE)</f>
        <v>9650</v>
      </c>
      <c r="J127" s="376">
        <f>+I127*G127</f>
        <v>9650</v>
      </c>
      <c r="K127" s="1218"/>
      <c r="L127" s="1226"/>
      <c r="N127" s="228"/>
    </row>
    <row r="128" spans="2:14" s="109" customFormat="1" ht="13" outlineLevel="1">
      <c r="B128" s="1164"/>
      <c r="C128" s="1160"/>
      <c r="D128" s="373" t="s">
        <v>439</v>
      </c>
      <c r="E128" s="374" t="s">
        <v>88</v>
      </c>
      <c r="F128" s="467"/>
      <c r="G128" s="375"/>
      <c r="H128" s="375"/>
      <c r="I128" s="376"/>
      <c r="J128" s="376"/>
      <c r="K128" s="534"/>
      <c r="L128" s="1226"/>
      <c r="N128" s="228"/>
    </row>
    <row r="129" spans="2:14" s="109" customFormat="1" outlineLevel="1" thickBot="1">
      <c r="B129" s="1165"/>
      <c r="C129" s="1166"/>
      <c r="D129" s="395" t="s">
        <v>440</v>
      </c>
      <c r="E129" s="439" t="s">
        <v>191</v>
      </c>
      <c r="F129" s="477"/>
      <c r="G129" s="440">
        <v>100</v>
      </c>
      <c r="H129" s="440" t="s">
        <v>360</v>
      </c>
      <c r="I129" s="398">
        <f>+VLOOKUP(E129,'Line items'!$B$3:$D$115,3,FALSE)</f>
        <v>10</v>
      </c>
      <c r="J129" s="408">
        <f>+I129*G129</f>
        <v>1000</v>
      </c>
      <c r="K129" s="550">
        <f>+J129</f>
        <v>1000</v>
      </c>
      <c r="L129" s="1227"/>
      <c r="N129" s="228"/>
    </row>
    <row r="130" spans="2:14" s="109" customFormat="1" thickBot="1">
      <c r="B130" s="506">
        <v>2.2999999999999998</v>
      </c>
      <c r="C130" s="1169" t="s">
        <v>38</v>
      </c>
      <c r="D130" s="1169"/>
      <c r="E130" s="1169"/>
      <c r="F130" s="507"/>
      <c r="G130" s="508"/>
      <c r="H130" s="508"/>
      <c r="I130" s="509"/>
      <c r="J130" s="509"/>
      <c r="K130" s="604"/>
      <c r="L130" s="605"/>
      <c r="N130" s="228"/>
    </row>
    <row r="131" spans="2:14" s="109" customFormat="1" ht="13" outlineLevel="1">
      <c r="B131" s="1162" t="s">
        <v>539</v>
      </c>
      <c r="C131" s="1163"/>
      <c r="D131" s="400" t="s">
        <v>441</v>
      </c>
      <c r="E131" s="392" t="s">
        <v>321</v>
      </c>
      <c r="F131" s="465"/>
      <c r="G131" s="393">
        <v>100</v>
      </c>
      <c r="H131" s="393" t="s">
        <v>360</v>
      </c>
      <c r="I131" s="403">
        <f>+VLOOKUP(E131,'Line items'!$B$3:$D$115,3,FALSE)</f>
        <v>10</v>
      </c>
      <c r="J131" s="394">
        <f>+I131*G131</f>
        <v>1000</v>
      </c>
      <c r="K131" s="552">
        <f>+J131</f>
        <v>1000</v>
      </c>
      <c r="L131" s="1225">
        <f>+SUM(K131:K135)</f>
        <v>42240</v>
      </c>
      <c r="N131" s="228"/>
    </row>
    <row r="132" spans="2:14" s="109" customFormat="1" ht="13" outlineLevel="1">
      <c r="B132" s="1164"/>
      <c r="C132" s="1160"/>
      <c r="D132" s="373" t="s">
        <v>442</v>
      </c>
      <c r="E132" s="374" t="s">
        <v>88</v>
      </c>
      <c r="F132" s="467"/>
      <c r="G132" s="375"/>
      <c r="H132" s="375"/>
      <c r="I132" s="376"/>
      <c r="J132" s="376"/>
      <c r="K132" s="534"/>
      <c r="L132" s="1226"/>
      <c r="N132" s="228"/>
    </row>
    <row r="133" spans="2:14" s="109" customFormat="1" ht="13" outlineLevel="1">
      <c r="B133" s="1164"/>
      <c r="C133" s="1160"/>
      <c r="D133" s="1249" t="s">
        <v>443</v>
      </c>
      <c r="E133" s="374" t="s">
        <v>647</v>
      </c>
      <c r="F133" s="467"/>
      <c r="G133" s="375">
        <v>4000</v>
      </c>
      <c r="H133" s="375" t="s">
        <v>95</v>
      </c>
      <c r="I133" s="376">
        <f>+VLOOKUP(E133,'Line items'!$B$3:$D$115,3,FALSE)</f>
        <v>10</v>
      </c>
      <c r="J133" s="376">
        <f>+I133*G133</f>
        <v>40000</v>
      </c>
      <c r="K133" s="1218">
        <f>+SUM(J133:J135)</f>
        <v>41240</v>
      </c>
      <c r="L133" s="1226"/>
      <c r="N133" s="228"/>
    </row>
    <row r="134" spans="2:14" s="109" customFormat="1" ht="13" outlineLevel="1">
      <c r="B134" s="1164"/>
      <c r="C134" s="1160"/>
      <c r="D134" s="1249"/>
      <c r="E134" s="374" t="s">
        <v>322</v>
      </c>
      <c r="F134" s="467"/>
      <c r="G134" s="375">
        <v>2</v>
      </c>
      <c r="H134" s="375" t="s">
        <v>364</v>
      </c>
      <c r="I134" s="376">
        <v>220</v>
      </c>
      <c r="J134" s="376">
        <f>+I134*G134</f>
        <v>440</v>
      </c>
      <c r="K134" s="1218"/>
      <c r="L134" s="1226"/>
      <c r="N134" s="228"/>
    </row>
    <row r="135" spans="2:14" s="109" customFormat="1" outlineLevel="1" thickBot="1">
      <c r="B135" s="1165"/>
      <c r="C135" s="1166"/>
      <c r="D135" s="1250"/>
      <c r="E135" s="505" t="s">
        <v>323</v>
      </c>
      <c r="F135" s="468"/>
      <c r="G135" s="397">
        <v>1</v>
      </c>
      <c r="H135" s="397" t="s">
        <v>364</v>
      </c>
      <c r="I135" s="398">
        <v>800</v>
      </c>
      <c r="J135" s="398">
        <f>+I135*G135</f>
        <v>800</v>
      </c>
      <c r="K135" s="1223"/>
      <c r="L135" s="1227"/>
      <c r="N135" s="228"/>
    </row>
    <row r="136" spans="2:14" s="109" customFormat="1" ht="13" outlineLevel="1">
      <c r="B136" s="1162" t="s">
        <v>540</v>
      </c>
      <c r="C136" s="1163"/>
      <c r="D136" s="400" t="s">
        <v>444</v>
      </c>
      <c r="E136" s="401" t="s">
        <v>321</v>
      </c>
      <c r="F136" s="469"/>
      <c r="G136" s="402">
        <v>100</v>
      </c>
      <c r="H136" s="402" t="s">
        <v>360</v>
      </c>
      <c r="I136" s="403">
        <v>4.91</v>
      </c>
      <c r="J136" s="403">
        <f>+I136*G136</f>
        <v>491</v>
      </c>
      <c r="K136" s="549">
        <f>+J136</f>
        <v>491</v>
      </c>
      <c r="L136" s="1225">
        <f>+SUM(K136:K140)</f>
        <v>40491</v>
      </c>
      <c r="N136" s="228"/>
    </row>
    <row r="137" spans="2:14" s="109" customFormat="1" ht="13" outlineLevel="1">
      <c r="B137" s="1164"/>
      <c r="C137" s="1160"/>
      <c r="D137" s="373" t="s">
        <v>445</v>
      </c>
      <c r="E137" s="374" t="s">
        <v>88</v>
      </c>
      <c r="F137" s="467"/>
      <c r="G137" s="375"/>
      <c r="H137" s="375"/>
      <c r="I137" s="376"/>
      <c r="J137" s="376"/>
      <c r="K137" s="534"/>
      <c r="L137" s="1226"/>
      <c r="N137" s="228"/>
    </row>
    <row r="138" spans="2:14" s="109" customFormat="1" ht="13" outlineLevel="1">
      <c r="B138" s="1164"/>
      <c r="C138" s="1160"/>
      <c r="D138" s="1249" t="s">
        <v>446</v>
      </c>
      <c r="E138" s="374" t="s">
        <v>647</v>
      </c>
      <c r="F138" s="466"/>
      <c r="G138" s="371">
        <v>4000</v>
      </c>
      <c r="H138" s="371" t="s">
        <v>95</v>
      </c>
      <c r="I138" s="376">
        <f>+VLOOKUP(E138,'Line items'!$B$3:$D$115,3,FALSE)</f>
        <v>10</v>
      </c>
      <c r="J138" s="372">
        <f>+I138*G138</f>
        <v>40000</v>
      </c>
      <c r="K138" s="1220">
        <f>+SUM(J138:J140)</f>
        <v>40000</v>
      </c>
      <c r="L138" s="1226"/>
      <c r="N138" s="228"/>
    </row>
    <row r="139" spans="2:14" s="109" customFormat="1" ht="13" outlineLevel="1">
      <c r="B139" s="1164"/>
      <c r="C139" s="1160"/>
      <c r="D139" s="1249"/>
      <c r="E139" s="370"/>
      <c r="F139" s="466"/>
      <c r="G139" s="371"/>
      <c r="H139" s="371"/>
      <c r="I139" s="372"/>
      <c r="J139" s="372"/>
      <c r="K139" s="1220"/>
      <c r="L139" s="1226"/>
      <c r="N139" s="228"/>
    </row>
    <row r="140" spans="2:14" s="109" customFormat="1" outlineLevel="1" thickBot="1">
      <c r="B140" s="1165"/>
      <c r="C140" s="1166"/>
      <c r="D140" s="1250"/>
      <c r="E140" s="617"/>
      <c r="F140" s="477"/>
      <c r="G140" s="440"/>
      <c r="H140" s="440"/>
      <c r="I140" s="408"/>
      <c r="J140" s="408"/>
      <c r="K140" s="1232"/>
      <c r="L140" s="1227"/>
      <c r="N140" s="228"/>
    </row>
    <row r="141" spans="2:14" s="109" customFormat="1" thickBot="1">
      <c r="B141" s="608">
        <v>3</v>
      </c>
      <c r="C141" s="609" t="s">
        <v>53</v>
      </c>
      <c r="D141" s="610"/>
      <c r="E141" s="611"/>
      <c r="F141" s="612"/>
      <c r="G141" s="613"/>
      <c r="H141" s="613"/>
      <c r="I141" s="614"/>
      <c r="J141" s="614"/>
      <c r="K141" s="615"/>
      <c r="L141" s="616"/>
      <c r="N141" s="228"/>
    </row>
    <row r="142" spans="2:14" s="109" customFormat="1" thickBot="1">
      <c r="B142" s="606">
        <v>3.1</v>
      </c>
      <c r="C142" s="1252" t="s">
        <v>42</v>
      </c>
      <c r="D142" s="1252"/>
      <c r="E142" s="1252"/>
      <c r="F142" s="479"/>
      <c r="G142" s="254"/>
      <c r="H142" s="254"/>
      <c r="I142" s="255"/>
      <c r="J142" s="255"/>
      <c r="K142" s="256"/>
      <c r="L142" s="607"/>
      <c r="N142" s="228"/>
    </row>
    <row r="143" spans="2:14" s="109" customFormat="1" ht="13" outlineLevel="1">
      <c r="B143" s="1162" t="s">
        <v>541</v>
      </c>
      <c r="C143" s="1163"/>
      <c r="D143" s="1248" t="s">
        <v>448</v>
      </c>
      <c r="E143" s="392" t="s">
        <v>324</v>
      </c>
      <c r="F143" s="465"/>
      <c r="G143" s="393">
        <v>1</v>
      </c>
      <c r="H143" s="393" t="s">
        <v>358</v>
      </c>
      <c r="I143" s="403">
        <f>+VLOOKUP(E143,'Line items'!$B$3:$D$115,3,FALSE)</f>
        <v>2500</v>
      </c>
      <c r="J143" s="394">
        <f>+I143*G143</f>
        <v>2500</v>
      </c>
      <c r="K143" s="1194">
        <f>+SUM(J143:J144)</f>
        <v>23500</v>
      </c>
      <c r="L143" s="1225">
        <f>+SUM(K143:K146)</f>
        <v>59500</v>
      </c>
      <c r="N143" s="228"/>
    </row>
    <row r="144" spans="2:14" s="109" customFormat="1" ht="13" outlineLevel="1">
      <c r="B144" s="1164"/>
      <c r="C144" s="1160"/>
      <c r="D144" s="1249"/>
      <c r="E144" s="370" t="s">
        <v>715</v>
      </c>
      <c r="F144" s="466"/>
      <c r="G144" s="371">
        <v>300</v>
      </c>
      <c r="H144" s="371" t="s">
        <v>360</v>
      </c>
      <c r="I144" s="376">
        <f>+VLOOKUP(E144,'Line items'!$B$3:$D$115,3,FALSE)</f>
        <v>70</v>
      </c>
      <c r="J144" s="372">
        <f>+I144*G144</f>
        <v>21000</v>
      </c>
      <c r="K144" s="1160"/>
      <c r="L144" s="1226"/>
      <c r="N144" s="228"/>
    </row>
    <row r="145" spans="2:14" s="109" customFormat="1" ht="13" outlineLevel="1">
      <c r="B145" s="1164"/>
      <c r="C145" s="1160"/>
      <c r="D145" s="373" t="s">
        <v>449</v>
      </c>
      <c r="E145" s="374" t="s">
        <v>88</v>
      </c>
      <c r="F145" s="467"/>
      <c r="G145" s="375"/>
      <c r="H145" s="375"/>
      <c r="I145" s="376"/>
      <c r="J145" s="376"/>
      <c r="K145" s="534"/>
      <c r="L145" s="1226"/>
      <c r="N145" s="228"/>
    </row>
    <row r="146" spans="2:14" s="109" customFormat="1" outlineLevel="1" thickBot="1">
      <c r="B146" s="1165"/>
      <c r="C146" s="1166"/>
      <c r="D146" s="395" t="s">
        <v>450</v>
      </c>
      <c r="E146" s="439" t="s">
        <v>723</v>
      </c>
      <c r="F146" s="477"/>
      <c r="G146" s="440">
        <v>300</v>
      </c>
      <c r="H146" s="440" t="s">
        <v>360</v>
      </c>
      <c r="I146" s="398">
        <f>+VLOOKUP(E146,'Line items'!$B$3:$D$115,3,FALSE)</f>
        <v>120</v>
      </c>
      <c r="J146" s="408">
        <f>+I146*G146</f>
        <v>36000</v>
      </c>
      <c r="K146" s="550">
        <f>+J146</f>
        <v>36000</v>
      </c>
      <c r="L146" s="1227"/>
      <c r="N146" s="228"/>
    </row>
    <row r="147" spans="2:14" s="109" customFormat="1" thickBot="1">
      <c r="B147" s="519">
        <v>3.2</v>
      </c>
      <c r="C147" s="1173" t="s">
        <v>43</v>
      </c>
      <c r="D147" s="1173"/>
      <c r="E147" s="1173"/>
      <c r="F147" s="520"/>
      <c r="G147" s="521"/>
      <c r="H147" s="521"/>
      <c r="I147" s="522"/>
      <c r="J147" s="522"/>
      <c r="K147" s="566"/>
      <c r="L147" s="567"/>
      <c r="N147" s="228"/>
    </row>
    <row r="148" spans="2:14" s="109" customFormat="1" ht="13" outlineLevel="1">
      <c r="B148" s="1162" t="s">
        <v>542</v>
      </c>
      <c r="C148" s="1163"/>
      <c r="D148" s="1246" t="s">
        <v>451</v>
      </c>
      <c r="E148" s="392" t="s">
        <v>325</v>
      </c>
      <c r="F148" s="465"/>
      <c r="G148" s="393"/>
      <c r="H148" s="393"/>
      <c r="I148" s="394">
        <v>0</v>
      </c>
      <c r="J148" s="394">
        <f>+I148*G148</f>
        <v>0</v>
      </c>
      <c r="K148" s="1219">
        <f>+SUM(J148:J150)</f>
        <v>21700</v>
      </c>
      <c r="L148" s="1225">
        <f>+SUM(K148:K152)</f>
        <v>57700</v>
      </c>
      <c r="N148" s="228"/>
    </row>
    <row r="149" spans="2:14" s="109" customFormat="1" ht="13" outlineLevel="1">
      <c r="B149" s="1164"/>
      <c r="C149" s="1160"/>
      <c r="D149" s="1247"/>
      <c r="E149" s="370" t="s">
        <v>715</v>
      </c>
      <c r="F149" s="466"/>
      <c r="G149" s="371">
        <v>300</v>
      </c>
      <c r="H149" s="371" t="s">
        <v>360</v>
      </c>
      <c r="I149" s="376">
        <f>+VLOOKUP(E149,'Line items'!$B$3:$D$115,3,FALSE)</f>
        <v>70</v>
      </c>
      <c r="J149" s="372">
        <f>+I149*G149</f>
        <v>21000</v>
      </c>
      <c r="K149" s="1220"/>
      <c r="L149" s="1226"/>
      <c r="N149" s="228"/>
    </row>
    <row r="150" spans="2:14" s="109" customFormat="1" ht="13" outlineLevel="1">
      <c r="B150" s="1164"/>
      <c r="C150" s="1160"/>
      <c r="D150" s="1247"/>
      <c r="E150" s="370" t="s">
        <v>705</v>
      </c>
      <c r="F150" s="466"/>
      <c r="G150" s="371">
        <v>1</v>
      </c>
      <c r="H150" s="371" t="s">
        <v>358</v>
      </c>
      <c r="I150" s="376">
        <f>+VLOOKUP(E150,'Line items'!$B$3:$D$115,3,FALSE)</f>
        <v>700</v>
      </c>
      <c r="J150" s="372">
        <f>+I150*G150</f>
        <v>700</v>
      </c>
      <c r="K150" s="1220"/>
      <c r="L150" s="1226"/>
      <c r="N150" s="228"/>
    </row>
    <row r="151" spans="2:14" s="109" customFormat="1" ht="13" outlineLevel="1">
      <c r="B151" s="1164"/>
      <c r="C151" s="1160"/>
      <c r="D151" s="373" t="s">
        <v>452</v>
      </c>
      <c r="E151" s="374" t="s">
        <v>88</v>
      </c>
      <c r="F151" s="467"/>
      <c r="G151" s="375"/>
      <c r="H151" s="375"/>
      <c r="I151" s="376"/>
      <c r="J151" s="376"/>
      <c r="K151" s="534"/>
      <c r="L151" s="1226"/>
      <c r="N151" s="228"/>
    </row>
    <row r="152" spans="2:14" s="109" customFormat="1" outlineLevel="1" thickBot="1">
      <c r="B152" s="1165"/>
      <c r="C152" s="1166"/>
      <c r="D152" s="395" t="s">
        <v>453</v>
      </c>
      <c r="E152" s="396" t="s">
        <v>716</v>
      </c>
      <c r="F152" s="468"/>
      <c r="G152" s="397">
        <v>300</v>
      </c>
      <c r="H152" s="397" t="s">
        <v>360</v>
      </c>
      <c r="I152" s="398">
        <f>+VLOOKUP(E152,'Line items'!$B$3:$D$115,3,FALSE)</f>
        <v>120</v>
      </c>
      <c r="J152" s="398">
        <f>+I152*G152</f>
        <v>36000</v>
      </c>
      <c r="K152" s="548">
        <f>+J152</f>
        <v>36000</v>
      </c>
      <c r="L152" s="1227"/>
      <c r="N152" s="228"/>
    </row>
    <row r="153" spans="2:14" s="109" customFormat="1" ht="13" outlineLevel="1">
      <c r="B153" s="1162" t="s">
        <v>543</v>
      </c>
      <c r="C153" s="1163"/>
      <c r="D153" s="1248" t="s">
        <v>454</v>
      </c>
      <c r="E153" s="401" t="s">
        <v>325</v>
      </c>
      <c r="F153" s="469"/>
      <c r="G153" s="402"/>
      <c r="H153" s="402"/>
      <c r="I153" s="403">
        <v>0</v>
      </c>
      <c r="J153" s="403">
        <f>+I153*G153</f>
        <v>0</v>
      </c>
      <c r="K153" s="1186">
        <f>+SUM(J153:J154)</f>
        <v>700</v>
      </c>
      <c r="L153" s="1225">
        <f>+SUM(K153:K156)</f>
        <v>5700</v>
      </c>
      <c r="N153" s="228"/>
    </row>
    <row r="154" spans="2:14" s="109" customFormat="1" ht="13" outlineLevel="1">
      <c r="B154" s="1164"/>
      <c r="C154" s="1160"/>
      <c r="D154" s="1249"/>
      <c r="E154" s="374" t="s">
        <v>705</v>
      </c>
      <c r="F154" s="467"/>
      <c r="G154" s="375">
        <v>1</v>
      </c>
      <c r="H154" s="375" t="s">
        <v>358</v>
      </c>
      <c r="I154" s="376">
        <f>+VLOOKUP(E154,'Line items'!$B$3:$D$115,3,FALSE)</f>
        <v>700</v>
      </c>
      <c r="J154" s="376">
        <f>+I154*G154</f>
        <v>700</v>
      </c>
      <c r="K154" s="1180"/>
      <c r="L154" s="1226"/>
      <c r="N154" s="228"/>
    </row>
    <row r="155" spans="2:14" s="109" customFormat="1" ht="13" outlineLevel="1">
      <c r="B155" s="1164"/>
      <c r="C155" s="1160"/>
      <c r="D155" s="373" t="s">
        <v>455</v>
      </c>
      <c r="E155" s="374" t="s">
        <v>717</v>
      </c>
      <c r="F155" s="467"/>
      <c r="G155" s="375">
        <v>1</v>
      </c>
      <c r="H155" s="375" t="s">
        <v>358</v>
      </c>
      <c r="I155" s="376">
        <f>+VLOOKUP(E155,'Line items'!$B$3:$D$115,3,FALSE)</f>
        <v>5000</v>
      </c>
      <c r="J155" s="376">
        <f>+I155*G155</f>
        <v>5000</v>
      </c>
      <c r="K155" s="532">
        <f t="shared" ref="K155:K156" si="4">+J155</f>
        <v>5000</v>
      </c>
      <c r="L155" s="1226"/>
      <c r="N155" s="228"/>
    </row>
    <row r="156" spans="2:14" s="109" customFormat="1" outlineLevel="1" thickBot="1">
      <c r="B156" s="1165"/>
      <c r="C156" s="1166"/>
      <c r="D156" s="395" t="s">
        <v>456</v>
      </c>
      <c r="E156" s="396" t="s">
        <v>716</v>
      </c>
      <c r="F156" s="468"/>
      <c r="G156" s="397"/>
      <c r="H156" s="397"/>
      <c r="I156" s="398">
        <f>+VLOOKUP(E156,'Line items'!$B$3:$D$115,3,FALSE)</f>
        <v>120</v>
      </c>
      <c r="J156" s="398">
        <f>+I156*G156</f>
        <v>0</v>
      </c>
      <c r="K156" s="548">
        <f t="shared" si="4"/>
        <v>0</v>
      </c>
      <c r="L156" s="1227"/>
      <c r="N156" s="228"/>
    </row>
    <row r="157" spans="2:14" s="109" customFormat="1" ht="13" outlineLevel="1">
      <c r="B157" s="1162" t="s">
        <v>544</v>
      </c>
      <c r="C157" s="1163"/>
      <c r="D157" s="400" t="s">
        <v>457</v>
      </c>
      <c r="E157" s="401" t="s">
        <v>88</v>
      </c>
      <c r="F157" s="469"/>
      <c r="G157" s="402"/>
      <c r="H157" s="402"/>
      <c r="I157" s="403"/>
      <c r="J157" s="403"/>
      <c r="K157" s="557"/>
      <c r="L157" s="1225">
        <f>+SUM(K157:K159)</f>
        <v>2000</v>
      </c>
      <c r="N157" s="228"/>
    </row>
    <row r="158" spans="2:14" s="109" customFormat="1" ht="13" outlineLevel="1">
      <c r="B158" s="1164"/>
      <c r="C158" s="1160"/>
      <c r="D158" s="373" t="s">
        <v>458</v>
      </c>
      <c r="E158" s="374" t="s">
        <v>88</v>
      </c>
      <c r="F158" s="467"/>
      <c r="G158" s="375"/>
      <c r="H158" s="375"/>
      <c r="I158" s="376"/>
      <c r="J158" s="376"/>
      <c r="K158" s="534"/>
      <c r="L158" s="1226"/>
      <c r="N158" s="228"/>
    </row>
    <row r="159" spans="2:14" s="109" customFormat="1" outlineLevel="1" thickBot="1">
      <c r="B159" s="1172"/>
      <c r="C159" s="1161"/>
      <c r="D159" s="381" t="s">
        <v>459</v>
      </c>
      <c r="E159" s="427" t="s">
        <v>326</v>
      </c>
      <c r="F159" s="488" t="s">
        <v>500</v>
      </c>
      <c r="G159" s="428">
        <v>1</v>
      </c>
      <c r="H159" s="428" t="s">
        <v>358</v>
      </c>
      <c r="I159" s="384">
        <f>+VLOOKUP(E159,'Line items'!$B$3:$D$115,3,FALSE)</f>
        <v>2000</v>
      </c>
      <c r="J159" s="426">
        <f>+I159*G159</f>
        <v>2000</v>
      </c>
      <c r="K159" s="542">
        <f>+J159</f>
        <v>2000</v>
      </c>
      <c r="L159" s="1228"/>
      <c r="N159" s="228"/>
    </row>
    <row r="160" spans="2:14" s="109" customFormat="1" thickBot="1">
      <c r="B160" s="519">
        <v>3.3</v>
      </c>
      <c r="C160" s="1173" t="s">
        <v>44</v>
      </c>
      <c r="D160" s="1173"/>
      <c r="E160" s="1173"/>
      <c r="F160" s="520"/>
      <c r="G160" s="521"/>
      <c r="H160" s="521"/>
      <c r="I160" s="522"/>
      <c r="J160" s="522"/>
      <c r="K160" s="566"/>
      <c r="L160" s="567"/>
      <c r="N160" s="228"/>
    </row>
    <row r="161" spans="2:14" s="109" customFormat="1" ht="13" outlineLevel="1">
      <c r="B161" s="1162" t="s">
        <v>545</v>
      </c>
      <c r="C161" s="1163"/>
      <c r="D161" s="1246" t="s">
        <v>460</v>
      </c>
      <c r="E161" s="401" t="s">
        <v>327</v>
      </c>
      <c r="F161" s="465"/>
      <c r="G161" s="393"/>
      <c r="H161" s="393"/>
      <c r="I161" s="394">
        <v>0</v>
      </c>
      <c r="J161" s="394">
        <f>+I161*G161</f>
        <v>0</v>
      </c>
      <c r="K161" s="1219">
        <f>+SUM(J161:J163)</f>
        <v>0</v>
      </c>
      <c r="L161" s="1225">
        <f>+SUM(K161:K165)</f>
        <v>0</v>
      </c>
      <c r="N161" s="228"/>
    </row>
    <row r="162" spans="2:14" s="109" customFormat="1" ht="13" outlineLevel="1">
      <c r="B162" s="1164"/>
      <c r="C162" s="1160"/>
      <c r="D162" s="1247"/>
      <c r="E162" s="374" t="s">
        <v>328</v>
      </c>
      <c r="F162" s="466"/>
      <c r="G162" s="371"/>
      <c r="H162" s="371"/>
      <c r="I162" s="372">
        <v>0</v>
      </c>
      <c r="J162" s="372">
        <f>+I162*G162</f>
        <v>0</v>
      </c>
      <c r="K162" s="1220"/>
      <c r="L162" s="1226"/>
      <c r="N162" s="228"/>
    </row>
    <row r="163" spans="2:14" s="109" customFormat="1" ht="13" outlineLevel="1">
      <c r="B163" s="1164"/>
      <c r="C163" s="1160"/>
      <c r="D163" s="1247"/>
      <c r="E163" s="374" t="s">
        <v>329</v>
      </c>
      <c r="F163" s="466"/>
      <c r="G163" s="371"/>
      <c r="H163" s="371"/>
      <c r="I163" s="372">
        <v>0</v>
      </c>
      <c r="J163" s="372">
        <f>+I163*G163</f>
        <v>0</v>
      </c>
      <c r="K163" s="1220"/>
      <c r="L163" s="1226"/>
      <c r="N163" s="228"/>
    </row>
    <row r="164" spans="2:14" s="109" customFormat="1" ht="13" outlineLevel="1">
      <c r="B164" s="1164"/>
      <c r="C164" s="1160"/>
      <c r="D164" s="373" t="s">
        <v>461</v>
      </c>
      <c r="E164" s="374" t="s">
        <v>88</v>
      </c>
      <c r="F164" s="467"/>
      <c r="G164" s="375"/>
      <c r="H164" s="375"/>
      <c r="I164" s="376"/>
      <c r="J164" s="376"/>
      <c r="K164" s="534"/>
      <c r="L164" s="1226"/>
      <c r="N164" s="228"/>
    </row>
    <row r="165" spans="2:14" s="109" customFormat="1" outlineLevel="1" thickBot="1">
      <c r="B165" s="1165"/>
      <c r="C165" s="1166"/>
      <c r="D165" s="395" t="s">
        <v>462</v>
      </c>
      <c r="E165" s="396" t="s">
        <v>202</v>
      </c>
      <c r="F165" s="468"/>
      <c r="G165" s="397"/>
      <c r="H165" s="397"/>
      <c r="I165" s="398">
        <v>0</v>
      </c>
      <c r="J165" s="398">
        <f>+I165*G165</f>
        <v>0</v>
      </c>
      <c r="K165" s="548">
        <f>+J165</f>
        <v>0</v>
      </c>
      <c r="L165" s="1227"/>
      <c r="N165" s="228"/>
    </row>
    <row r="166" spans="2:14" s="109" customFormat="1" ht="13" outlineLevel="1">
      <c r="B166" s="1162" t="s">
        <v>546</v>
      </c>
      <c r="C166" s="1163"/>
      <c r="D166" s="1246" t="s">
        <v>463</v>
      </c>
      <c r="E166" s="401" t="s">
        <v>718</v>
      </c>
      <c r="F166" s="469"/>
      <c r="G166" s="402">
        <v>300</v>
      </c>
      <c r="H166" s="402" t="s">
        <v>360</v>
      </c>
      <c r="I166" s="403">
        <f>+VLOOKUP(E166,'Line items'!$B$3:$D$115,3,FALSE)</f>
        <v>10</v>
      </c>
      <c r="J166" s="403">
        <f>+I166*G166</f>
        <v>3000</v>
      </c>
      <c r="K166" s="1186">
        <f>+SUM(J166:J167)</f>
        <v>4040</v>
      </c>
      <c r="L166" s="1225">
        <f>+SUM(K166:K169)</f>
        <v>5080</v>
      </c>
      <c r="N166" s="228"/>
    </row>
    <row r="167" spans="2:14" s="109" customFormat="1" ht="13" outlineLevel="1">
      <c r="B167" s="1164"/>
      <c r="C167" s="1160"/>
      <c r="D167" s="1247"/>
      <c r="E167" s="374" t="s">
        <v>330</v>
      </c>
      <c r="F167" s="467"/>
      <c r="G167" s="375">
        <v>8</v>
      </c>
      <c r="H167" s="375" t="s">
        <v>364</v>
      </c>
      <c r="I167" s="376">
        <f>+VLOOKUP(E167,'Line items'!$B$3:$D$115,3,FALSE)</f>
        <v>130</v>
      </c>
      <c r="J167" s="376">
        <f>+I167*G167</f>
        <v>1040</v>
      </c>
      <c r="K167" s="1180"/>
      <c r="L167" s="1226"/>
      <c r="N167" s="228"/>
    </row>
    <row r="168" spans="2:14" s="109" customFormat="1" ht="13" outlineLevel="1">
      <c r="B168" s="1164"/>
      <c r="C168" s="1160"/>
      <c r="D168" s="373" t="s">
        <v>464</v>
      </c>
      <c r="E168" s="374" t="s">
        <v>88</v>
      </c>
      <c r="F168" s="467"/>
      <c r="G168" s="375"/>
      <c r="H168" s="375"/>
      <c r="I168" s="376"/>
      <c r="J168" s="376"/>
      <c r="K168" s="534"/>
      <c r="L168" s="1226"/>
      <c r="N168" s="228"/>
    </row>
    <row r="169" spans="2:14" s="109" customFormat="1" outlineLevel="1" thickBot="1">
      <c r="B169" s="1165"/>
      <c r="C169" s="1166"/>
      <c r="D169" s="395" t="s">
        <v>465</v>
      </c>
      <c r="E169" s="396" t="s">
        <v>330</v>
      </c>
      <c r="F169" s="468"/>
      <c r="G169" s="397">
        <v>8</v>
      </c>
      <c r="H169" s="397" t="s">
        <v>364</v>
      </c>
      <c r="I169" s="398">
        <f>+VLOOKUP(E169,'Line items'!$B$3:$D$115,3,FALSE)</f>
        <v>130</v>
      </c>
      <c r="J169" s="398">
        <f>+I169*G169</f>
        <v>1040</v>
      </c>
      <c r="K169" s="548">
        <f>+J169</f>
        <v>1040</v>
      </c>
      <c r="L169" s="1227"/>
      <c r="N169" s="228"/>
    </row>
    <row r="170" spans="2:14" s="109" customFormat="1" ht="13" outlineLevel="1">
      <c r="B170" s="1162" t="s">
        <v>547</v>
      </c>
      <c r="C170" s="1163"/>
      <c r="D170" s="1248" t="s">
        <v>466</v>
      </c>
      <c r="E170" s="401" t="s">
        <v>331</v>
      </c>
      <c r="F170" s="469"/>
      <c r="G170" s="402"/>
      <c r="H170" s="402"/>
      <c r="I170" s="403">
        <v>0</v>
      </c>
      <c r="J170" s="403">
        <f>+I170*G170</f>
        <v>0</v>
      </c>
      <c r="K170" s="1217">
        <f>+SUM(J170:J172)</f>
        <v>4040</v>
      </c>
      <c r="L170" s="1225">
        <f>+SUM(K170:K174)</f>
        <v>5080</v>
      </c>
      <c r="N170" s="228"/>
    </row>
    <row r="171" spans="2:14" s="109" customFormat="1" ht="13" outlineLevel="1">
      <c r="B171" s="1164"/>
      <c r="C171" s="1160"/>
      <c r="D171" s="1249"/>
      <c r="E171" s="374" t="s">
        <v>718</v>
      </c>
      <c r="F171" s="467"/>
      <c r="G171" s="375">
        <v>300</v>
      </c>
      <c r="H171" s="375" t="s">
        <v>360</v>
      </c>
      <c r="I171" s="376">
        <f>+VLOOKUP(E171,'Line items'!$B$3:$D$115,3,FALSE)</f>
        <v>10</v>
      </c>
      <c r="J171" s="376">
        <f>+I171*G171</f>
        <v>3000</v>
      </c>
      <c r="K171" s="1218"/>
      <c r="L171" s="1226"/>
      <c r="N171" s="228"/>
    </row>
    <row r="172" spans="2:14" s="109" customFormat="1" ht="13" outlineLevel="1">
      <c r="B172" s="1164"/>
      <c r="C172" s="1160"/>
      <c r="D172" s="1249"/>
      <c r="E172" s="374" t="s">
        <v>330</v>
      </c>
      <c r="F172" s="467"/>
      <c r="G172" s="375">
        <v>8</v>
      </c>
      <c r="H172" s="375" t="s">
        <v>364</v>
      </c>
      <c r="I172" s="376">
        <f>+VLOOKUP(E172,'Line items'!$B$3:$D$115,3,FALSE)</f>
        <v>130</v>
      </c>
      <c r="J172" s="376">
        <f>+I172*G172</f>
        <v>1040</v>
      </c>
      <c r="K172" s="1218"/>
      <c r="L172" s="1226"/>
      <c r="N172" s="228"/>
    </row>
    <row r="173" spans="2:14" s="109" customFormat="1" ht="13" outlineLevel="1">
      <c r="B173" s="1164"/>
      <c r="C173" s="1160"/>
      <c r="D173" s="373" t="s">
        <v>467</v>
      </c>
      <c r="E173" s="374" t="s">
        <v>88</v>
      </c>
      <c r="F173" s="467"/>
      <c r="G173" s="375"/>
      <c r="H173" s="375"/>
      <c r="I173" s="376"/>
      <c r="J173" s="376"/>
      <c r="K173" s="534"/>
      <c r="L173" s="1226"/>
      <c r="N173" s="228"/>
    </row>
    <row r="174" spans="2:14" s="109" customFormat="1" outlineLevel="1" thickBot="1">
      <c r="B174" s="1165"/>
      <c r="C174" s="1166"/>
      <c r="D174" s="395" t="s">
        <v>468</v>
      </c>
      <c r="E174" s="396" t="s">
        <v>330</v>
      </c>
      <c r="F174" s="477"/>
      <c r="G174" s="440">
        <v>8</v>
      </c>
      <c r="H174" s="440" t="s">
        <v>364</v>
      </c>
      <c r="I174" s="398">
        <f>+VLOOKUP(E174,'Line items'!$B$3:$D$115,3,FALSE)</f>
        <v>130</v>
      </c>
      <c r="J174" s="408">
        <f>+I174*G174</f>
        <v>1040</v>
      </c>
      <c r="K174" s="550">
        <f>+J174</f>
        <v>1040</v>
      </c>
      <c r="L174" s="1227"/>
      <c r="N174" s="228"/>
    </row>
    <row r="175" spans="2:14" s="109" customFormat="1" thickBot="1">
      <c r="B175" s="519">
        <v>3.4</v>
      </c>
      <c r="C175" s="1173" t="s">
        <v>45</v>
      </c>
      <c r="D175" s="1173"/>
      <c r="E175" s="1173"/>
      <c r="F175" s="520"/>
      <c r="G175" s="521"/>
      <c r="H175" s="521"/>
      <c r="I175" s="522"/>
      <c r="J175" s="522"/>
      <c r="K175" s="566"/>
      <c r="L175" s="567"/>
      <c r="N175" s="228"/>
    </row>
    <row r="176" spans="2:14" s="109" customFormat="1" ht="13" outlineLevel="1">
      <c r="B176" s="1162" t="s">
        <v>548</v>
      </c>
      <c r="C176" s="1163"/>
      <c r="D176" s="400" t="s">
        <v>469</v>
      </c>
      <c r="E176" s="401" t="s">
        <v>88</v>
      </c>
      <c r="F176" s="469"/>
      <c r="G176" s="402"/>
      <c r="H176" s="402"/>
      <c r="I176" s="403"/>
      <c r="J176" s="403"/>
      <c r="K176" s="557"/>
      <c r="L176" s="1225">
        <f>+SUM(K176:K178)</f>
        <v>0</v>
      </c>
      <c r="N176" s="228"/>
    </row>
    <row r="177" spans="2:14" s="109" customFormat="1" ht="13" outlineLevel="1">
      <c r="B177" s="1164"/>
      <c r="C177" s="1160"/>
      <c r="D177" s="373" t="s">
        <v>470</v>
      </c>
      <c r="E177" s="374" t="s">
        <v>88</v>
      </c>
      <c r="F177" s="467"/>
      <c r="G177" s="375"/>
      <c r="H177" s="375"/>
      <c r="I177" s="376"/>
      <c r="J177" s="376"/>
      <c r="K177" s="534"/>
      <c r="L177" s="1226"/>
      <c r="N177" s="228"/>
    </row>
    <row r="178" spans="2:14" s="109" customFormat="1" outlineLevel="1" thickBot="1">
      <c r="B178" s="1165"/>
      <c r="C178" s="1166"/>
      <c r="D178" s="395" t="s">
        <v>471</v>
      </c>
      <c r="E178" s="396" t="s">
        <v>88</v>
      </c>
      <c r="F178" s="468"/>
      <c r="G178" s="397"/>
      <c r="H178" s="397"/>
      <c r="I178" s="398"/>
      <c r="J178" s="398"/>
      <c r="K178" s="551"/>
      <c r="L178" s="1227"/>
      <c r="N178" s="228"/>
    </row>
    <row r="179" spans="2:14" s="109" customFormat="1" ht="13" outlineLevel="1">
      <c r="B179" s="1162" t="s">
        <v>549</v>
      </c>
      <c r="C179" s="1163"/>
      <c r="D179" s="400" t="s">
        <v>472</v>
      </c>
      <c r="E179" s="401" t="s">
        <v>88</v>
      </c>
      <c r="F179" s="469"/>
      <c r="G179" s="402"/>
      <c r="H179" s="402"/>
      <c r="I179" s="403"/>
      <c r="J179" s="403"/>
      <c r="K179" s="557"/>
      <c r="L179" s="1225">
        <f>+SUM(K179:K181)</f>
        <v>0</v>
      </c>
      <c r="N179" s="228"/>
    </row>
    <row r="180" spans="2:14" s="109" customFormat="1" ht="13" outlineLevel="1">
      <c r="B180" s="1164"/>
      <c r="C180" s="1160"/>
      <c r="D180" s="373" t="s">
        <v>473</v>
      </c>
      <c r="E180" s="374" t="s">
        <v>88</v>
      </c>
      <c r="F180" s="467"/>
      <c r="G180" s="375"/>
      <c r="H180" s="375"/>
      <c r="I180" s="376"/>
      <c r="J180" s="376"/>
      <c r="K180" s="534"/>
      <c r="L180" s="1226"/>
      <c r="N180" s="228"/>
    </row>
    <row r="181" spans="2:14" s="109" customFormat="1" outlineLevel="1" thickBot="1">
      <c r="B181" s="1165"/>
      <c r="C181" s="1166"/>
      <c r="D181" s="395" t="s">
        <v>474</v>
      </c>
      <c r="E181" s="396" t="s">
        <v>88</v>
      </c>
      <c r="F181" s="468"/>
      <c r="G181" s="397"/>
      <c r="H181" s="397"/>
      <c r="I181" s="398"/>
      <c r="J181" s="398"/>
      <c r="K181" s="551"/>
      <c r="L181" s="1227"/>
      <c r="N181" s="228"/>
    </row>
    <row r="182" spans="2:14" s="109" customFormat="1" thickBot="1">
      <c r="B182" s="519">
        <v>3.5</v>
      </c>
      <c r="C182" s="1173" t="s">
        <v>46</v>
      </c>
      <c r="D182" s="1173"/>
      <c r="E182" s="1173"/>
      <c r="F182" s="520"/>
      <c r="G182" s="521"/>
      <c r="H182" s="521"/>
      <c r="I182" s="522"/>
      <c r="J182" s="522"/>
      <c r="K182" s="566"/>
      <c r="L182" s="567"/>
      <c r="N182" s="228"/>
    </row>
    <row r="183" spans="2:14" s="109" customFormat="1" ht="13" outlineLevel="1">
      <c r="B183" s="1162" t="s">
        <v>550</v>
      </c>
      <c r="C183" s="1163"/>
      <c r="D183" s="400" t="s">
        <v>475</v>
      </c>
      <c r="E183" s="401" t="s">
        <v>88</v>
      </c>
      <c r="F183" s="469"/>
      <c r="G183" s="402"/>
      <c r="H183" s="402"/>
      <c r="I183" s="403"/>
      <c r="J183" s="403"/>
      <c r="K183" s="557"/>
      <c r="L183" s="1225">
        <f>+SUM(K183:K185)</f>
        <v>0</v>
      </c>
      <c r="N183" s="228"/>
    </row>
    <row r="184" spans="2:14" s="109" customFormat="1" ht="13" outlineLevel="1">
      <c r="B184" s="1164"/>
      <c r="C184" s="1160"/>
      <c r="D184" s="373" t="s">
        <v>476</v>
      </c>
      <c r="E184" s="374" t="s">
        <v>88</v>
      </c>
      <c r="F184" s="467"/>
      <c r="G184" s="375"/>
      <c r="H184" s="375"/>
      <c r="I184" s="376"/>
      <c r="J184" s="376"/>
      <c r="K184" s="534"/>
      <c r="L184" s="1226"/>
      <c r="N184" s="228"/>
    </row>
    <row r="185" spans="2:14" s="109" customFormat="1" outlineLevel="1" thickBot="1">
      <c r="B185" s="1165"/>
      <c r="C185" s="1166"/>
      <c r="D185" s="395" t="s">
        <v>477</v>
      </c>
      <c r="E185" s="396" t="s">
        <v>88</v>
      </c>
      <c r="F185" s="468"/>
      <c r="G185" s="397"/>
      <c r="H185" s="397"/>
      <c r="I185" s="398"/>
      <c r="J185" s="398"/>
      <c r="K185" s="551"/>
      <c r="L185" s="1227"/>
      <c r="N185" s="228"/>
    </row>
    <row r="186" spans="2:14" s="109" customFormat="1" ht="13" outlineLevel="1">
      <c r="B186" s="1162" t="s">
        <v>551</v>
      </c>
      <c r="C186" s="1163"/>
      <c r="D186" s="400" t="s">
        <v>478</v>
      </c>
      <c r="E186" s="401" t="s">
        <v>88</v>
      </c>
      <c r="F186" s="469"/>
      <c r="G186" s="402"/>
      <c r="H186" s="402"/>
      <c r="I186" s="403"/>
      <c r="J186" s="403"/>
      <c r="K186" s="557"/>
      <c r="L186" s="1225">
        <f>+SUM(K186:K188)</f>
        <v>0</v>
      </c>
      <c r="N186" s="228"/>
    </row>
    <row r="187" spans="2:14" s="109" customFormat="1" ht="13" outlineLevel="1">
      <c r="B187" s="1164"/>
      <c r="C187" s="1160"/>
      <c r="D187" s="373" t="s">
        <v>479</v>
      </c>
      <c r="E187" s="374" t="s">
        <v>88</v>
      </c>
      <c r="F187" s="467"/>
      <c r="G187" s="375"/>
      <c r="H187" s="375"/>
      <c r="I187" s="376"/>
      <c r="J187" s="376"/>
      <c r="K187" s="534"/>
      <c r="L187" s="1226"/>
      <c r="N187" s="228"/>
    </row>
    <row r="188" spans="2:14" s="109" customFormat="1" outlineLevel="1" thickBot="1">
      <c r="B188" s="1165"/>
      <c r="C188" s="1166"/>
      <c r="D188" s="395" t="s">
        <v>480</v>
      </c>
      <c r="E188" s="396" t="s">
        <v>88</v>
      </c>
      <c r="F188" s="468"/>
      <c r="G188" s="397"/>
      <c r="H188" s="397"/>
      <c r="I188" s="398"/>
      <c r="J188" s="398"/>
      <c r="K188" s="551"/>
      <c r="L188" s="1227"/>
      <c r="N188" s="228"/>
    </row>
    <row r="189" spans="2:14" s="109" customFormat="1" thickBot="1">
      <c r="B189" s="1215" t="s">
        <v>54</v>
      </c>
      <c r="C189" s="1216"/>
      <c r="D189" s="1216"/>
      <c r="E189" s="1216"/>
      <c r="F189" s="520"/>
      <c r="G189" s="521"/>
      <c r="H189" s="521"/>
      <c r="I189" s="522"/>
      <c r="J189" s="522"/>
      <c r="K189" s="566"/>
      <c r="L189" s="567"/>
      <c r="N189" s="228"/>
    </row>
    <row r="190" spans="2:14" s="109" customFormat="1" thickBot="1">
      <c r="B190" s="519">
        <v>3.6</v>
      </c>
      <c r="C190" s="1173" t="s">
        <v>47</v>
      </c>
      <c r="D190" s="1173"/>
      <c r="E190" s="1173"/>
      <c r="F190" s="520"/>
      <c r="G190" s="521"/>
      <c r="H190" s="521"/>
      <c r="I190" s="522"/>
      <c r="J190" s="522"/>
      <c r="K190" s="566"/>
      <c r="L190" s="567"/>
      <c r="N190" s="228"/>
    </row>
    <row r="191" spans="2:14" s="109" customFormat="1" ht="13" outlineLevel="1">
      <c r="B191" s="1162" t="s">
        <v>552</v>
      </c>
      <c r="C191" s="1163"/>
      <c r="D191" s="1246" t="s">
        <v>481</v>
      </c>
      <c r="E191" s="401" t="s">
        <v>722</v>
      </c>
      <c r="F191" s="465"/>
      <c r="G191" s="393">
        <v>4000</v>
      </c>
      <c r="H191" s="393" t="s">
        <v>95</v>
      </c>
      <c r="I191" s="403">
        <f>+VLOOKUP(E191,'Line items'!$B$3:$D$115,3,FALSE)</f>
        <v>10</v>
      </c>
      <c r="J191" s="394">
        <f>+I191*G191</f>
        <v>40000</v>
      </c>
      <c r="K191" s="1194">
        <f>+SUM(J191:J192)</f>
        <v>42600</v>
      </c>
      <c r="L191" s="1225">
        <f>+SUM(K191:K194)</f>
        <v>42600</v>
      </c>
      <c r="N191" s="228"/>
    </row>
    <row r="192" spans="2:14" s="109" customFormat="1" ht="13" outlineLevel="1">
      <c r="B192" s="1164"/>
      <c r="C192" s="1160"/>
      <c r="D192" s="1247"/>
      <c r="E192" s="374" t="s">
        <v>335</v>
      </c>
      <c r="F192" s="466"/>
      <c r="G192" s="371">
        <v>1</v>
      </c>
      <c r="H192" s="371" t="s">
        <v>358</v>
      </c>
      <c r="I192" s="376">
        <f>+VLOOKUP(E192,'Line items'!$B$3:$D$115,3,FALSE)</f>
        <v>2600</v>
      </c>
      <c r="J192" s="372">
        <f>+I192*G192</f>
        <v>2600</v>
      </c>
      <c r="K192" s="1160"/>
      <c r="L192" s="1226"/>
      <c r="N192" s="228"/>
    </row>
    <row r="193" spans="2:14" s="109" customFormat="1" ht="13" outlineLevel="1">
      <c r="B193" s="1164"/>
      <c r="C193" s="1160"/>
      <c r="D193" s="373" t="s">
        <v>482</v>
      </c>
      <c r="E193" s="374" t="s">
        <v>88</v>
      </c>
      <c r="F193" s="467"/>
      <c r="G193" s="375"/>
      <c r="H193" s="375"/>
      <c r="I193" s="376"/>
      <c r="J193" s="376"/>
      <c r="K193" s="534"/>
      <c r="L193" s="1226"/>
      <c r="N193" s="228"/>
    </row>
    <row r="194" spans="2:14" s="109" customFormat="1" outlineLevel="1" thickBot="1">
      <c r="B194" s="1165"/>
      <c r="C194" s="1166"/>
      <c r="D194" s="395" t="s">
        <v>483</v>
      </c>
      <c r="E194" s="396" t="s">
        <v>88</v>
      </c>
      <c r="F194" s="468"/>
      <c r="G194" s="397"/>
      <c r="H194" s="397"/>
      <c r="I194" s="398"/>
      <c r="J194" s="398"/>
      <c r="K194" s="551"/>
      <c r="L194" s="1227"/>
      <c r="N194" s="228"/>
    </row>
    <row r="195" spans="2:14" s="109" customFormat="1" thickBot="1">
      <c r="B195" s="519">
        <v>3.7</v>
      </c>
      <c r="C195" s="1173" t="s">
        <v>48</v>
      </c>
      <c r="D195" s="1173"/>
      <c r="E195" s="1173"/>
      <c r="F195" s="520"/>
      <c r="G195" s="521"/>
      <c r="H195" s="521"/>
      <c r="I195" s="522"/>
      <c r="J195" s="522"/>
      <c r="K195" s="566"/>
      <c r="L195" s="567"/>
      <c r="N195" s="228"/>
    </row>
    <row r="196" spans="2:14" s="109" customFormat="1" ht="13">
      <c r="C196" s="229"/>
      <c r="F196" s="582"/>
      <c r="G196" s="120"/>
      <c r="H196" s="120"/>
      <c r="K196" s="226"/>
      <c r="L196" s="236"/>
      <c r="N196" s="228"/>
    </row>
    <row r="197" spans="2:14" s="109" customFormat="1" ht="13">
      <c r="C197" s="229"/>
      <c r="F197" s="582"/>
      <c r="G197" s="120"/>
      <c r="H197" s="120"/>
      <c r="K197" s="226"/>
      <c r="L197" s="236"/>
      <c r="N197" s="228"/>
    </row>
    <row r="198" spans="2:14" s="109" customFormat="1" ht="13">
      <c r="C198" s="229"/>
      <c r="F198" s="582"/>
      <c r="G198" s="120"/>
      <c r="H198" s="120"/>
      <c r="K198" s="226"/>
      <c r="L198" s="236"/>
      <c r="N198" s="228"/>
    </row>
    <row r="199" spans="2:14" s="109" customFormat="1" ht="13">
      <c r="C199" s="229"/>
      <c r="F199" s="582"/>
      <c r="G199" s="120"/>
      <c r="H199" s="120"/>
      <c r="K199" s="226"/>
      <c r="L199" s="236"/>
      <c r="N199" s="228"/>
    </row>
    <row r="200" spans="2:14">
      <c r="F200" s="462"/>
      <c r="G200" s="120"/>
      <c r="H200" s="120"/>
    </row>
    <row r="201" spans="2:14">
      <c r="F201" s="462"/>
      <c r="G201" s="120"/>
      <c r="H201" s="120"/>
    </row>
    <row r="202" spans="2:14">
      <c r="F202" s="462"/>
      <c r="G202" s="120"/>
      <c r="H202" s="120"/>
    </row>
    <row r="203" spans="2:14">
      <c r="F203" s="462"/>
      <c r="G203" s="120"/>
      <c r="H203" s="120"/>
    </row>
    <row r="204" spans="2:14">
      <c r="F204" s="462"/>
      <c r="G204" s="120"/>
      <c r="H204" s="120"/>
    </row>
    <row r="205" spans="2:14">
      <c r="F205" s="462"/>
      <c r="G205" s="120"/>
      <c r="H205" s="120"/>
    </row>
    <row r="206" spans="2:14">
      <c r="G206" s="120"/>
      <c r="H206" s="120"/>
    </row>
    <row r="207" spans="2:14">
      <c r="G207" s="120"/>
      <c r="H207" s="120"/>
    </row>
    <row r="208" spans="2:14">
      <c r="G208" s="120"/>
      <c r="H208" s="120"/>
    </row>
    <row r="209" spans="7:8">
      <c r="G209" s="120"/>
      <c r="H209" s="120"/>
    </row>
    <row r="210" spans="7:8">
      <c r="G210" s="120"/>
      <c r="H210" s="120"/>
    </row>
    <row r="211" spans="7:8">
      <c r="G211" s="120"/>
      <c r="H211" s="120"/>
    </row>
    <row r="212" spans="7:8">
      <c r="G212" s="120"/>
      <c r="H212" s="120"/>
    </row>
    <row r="213" spans="7:8">
      <c r="G213" s="120"/>
      <c r="H213" s="120"/>
    </row>
    <row r="214" spans="7:8">
      <c r="G214" s="120"/>
      <c r="H214" s="120"/>
    </row>
    <row r="215" spans="7:8">
      <c r="G215" s="120"/>
      <c r="H215" s="120"/>
    </row>
    <row r="216" spans="7:8">
      <c r="G216" s="120"/>
      <c r="H216" s="120"/>
    </row>
    <row r="217" spans="7:8">
      <c r="G217" s="120"/>
      <c r="H217" s="120"/>
    </row>
    <row r="218" spans="7:8">
      <c r="G218" s="120"/>
      <c r="H218" s="120"/>
    </row>
    <row r="219" spans="7:8">
      <c r="G219" s="120"/>
      <c r="H219" s="120"/>
    </row>
    <row r="220" spans="7:8">
      <c r="G220" s="120"/>
      <c r="H220" s="120"/>
    </row>
    <row r="221" spans="7:8">
      <c r="G221" s="120"/>
      <c r="H221" s="120"/>
    </row>
  </sheetData>
  <mergeCells count="153">
    <mergeCell ref="K70:K74"/>
    <mergeCell ref="K77:K81"/>
    <mergeCell ref="K84:K88"/>
    <mergeCell ref="K91:K95"/>
    <mergeCell ref="B189:E189"/>
    <mergeCell ref="C190:E190"/>
    <mergeCell ref="C195:E195"/>
    <mergeCell ref="C142:E142"/>
    <mergeCell ref="C147:E147"/>
    <mergeCell ref="C160:E160"/>
    <mergeCell ref="C175:E175"/>
    <mergeCell ref="C182:E182"/>
    <mergeCell ref="B148:C152"/>
    <mergeCell ref="D148:D150"/>
    <mergeCell ref="B153:C156"/>
    <mergeCell ref="D153:D154"/>
    <mergeCell ref="B157:C159"/>
    <mergeCell ref="B161:C165"/>
    <mergeCell ref="D161:D163"/>
    <mergeCell ref="B125:C129"/>
    <mergeCell ref="D125:D127"/>
    <mergeCell ref="B111:C115"/>
    <mergeCell ref="D111:D113"/>
    <mergeCell ref="K166:K167"/>
    <mergeCell ref="B10:C15"/>
    <mergeCell ref="D10:D13"/>
    <mergeCell ref="B16:C18"/>
    <mergeCell ref="B19:C21"/>
    <mergeCell ref="B22:C26"/>
    <mergeCell ref="D22:D24"/>
    <mergeCell ref="B28:C32"/>
    <mergeCell ref="D28:D30"/>
    <mergeCell ref="B33:C36"/>
    <mergeCell ref="D33:D34"/>
    <mergeCell ref="B37:C41"/>
    <mergeCell ref="D38:D40"/>
    <mergeCell ref="B42:C46"/>
    <mergeCell ref="D43:D45"/>
    <mergeCell ref="C130:E130"/>
    <mergeCell ref="C27:E27"/>
    <mergeCell ref="C48:E48"/>
    <mergeCell ref="C52:E52"/>
    <mergeCell ref="C56:E56"/>
    <mergeCell ref="C63:E63"/>
    <mergeCell ref="C67:E67"/>
    <mergeCell ref="C96:E96"/>
    <mergeCell ref="C105:E105"/>
    <mergeCell ref="C116:E116"/>
    <mergeCell ref="B82:C88"/>
    <mergeCell ref="D84:D88"/>
    <mergeCell ref="B89:C95"/>
    <mergeCell ref="D91:D95"/>
    <mergeCell ref="B97:C99"/>
    <mergeCell ref="B100:C103"/>
    <mergeCell ref="D100:D101"/>
    <mergeCell ref="B106:C110"/>
    <mergeCell ref="D106:D108"/>
    <mergeCell ref="D123:D124"/>
    <mergeCell ref="B68:C74"/>
    <mergeCell ref="D70:D74"/>
    <mergeCell ref="B75:C81"/>
    <mergeCell ref="D77:D81"/>
    <mergeCell ref="B47:C47"/>
    <mergeCell ref="B49:C51"/>
    <mergeCell ref="B53:C55"/>
    <mergeCell ref="B57:C62"/>
    <mergeCell ref="D57:D59"/>
    <mergeCell ref="D60:D61"/>
    <mergeCell ref="K22:K24"/>
    <mergeCell ref="K28:K30"/>
    <mergeCell ref="K33:K34"/>
    <mergeCell ref="K38:K40"/>
    <mergeCell ref="B179:C181"/>
    <mergeCell ref="B183:C185"/>
    <mergeCell ref="B186:C188"/>
    <mergeCell ref="B191:C194"/>
    <mergeCell ref="D191:D192"/>
    <mergeCell ref="B166:C169"/>
    <mergeCell ref="D166:D167"/>
    <mergeCell ref="B170:C174"/>
    <mergeCell ref="D170:D172"/>
    <mergeCell ref="B176:C178"/>
    <mergeCell ref="B131:C135"/>
    <mergeCell ref="D133:D135"/>
    <mergeCell ref="B136:C140"/>
    <mergeCell ref="D138:D140"/>
    <mergeCell ref="B143:C146"/>
    <mergeCell ref="D143:D144"/>
    <mergeCell ref="B117:C120"/>
    <mergeCell ref="D119:D120"/>
    <mergeCell ref="B121:C124"/>
    <mergeCell ref="B64:C66"/>
    <mergeCell ref="K170:K172"/>
    <mergeCell ref="K191:K192"/>
    <mergeCell ref="A1:D2"/>
    <mergeCell ref="E1:E2"/>
    <mergeCell ref="A3:D3"/>
    <mergeCell ref="A4:D4"/>
    <mergeCell ref="A5:D5"/>
    <mergeCell ref="A6:D6"/>
    <mergeCell ref="K138:K140"/>
    <mergeCell ref="K143:K144"/>
    <mergeCell ref="K148:K150"/>
    <mergeCell ref="K153:K154"/>
    <mergeCell ref="K161:K163"/>
    <mergeCell ref="K111:K113"/>
    <mergeCell ref="K119:K120"/>
    <mergeCell ref="K123:K124"/>
    <mergeCell ref="K125:K127"/>
    <mergeCell ref="K133:K135"/>
    <mergeCell ref="K43:K45"/>
    <mergeCell ref="K57:K59"/>
    <mergeCell ref="K60:K61"/>
    <mergeCell ref="K100:K101"/>
    <mergeCell ref="K106:K108"/>
    <mergeCell ref="K10:K13"/>
    <mergeCell ref="L10:L15"/>
    <mergeCell ref="L16:L18"/>
    <mergeCell ref="L19:L21"/>
    <mergeCell ref="L22:L26"/>
    <mergeCell ref="L28:L32"/>
    <mergeCell ref="L33:L36"/>
    <mergeCell ref="L37:L41"/>
    <mergeCell ref="L42:L46"/>
    <mergeCell ref="L49:L51"/>
    <mergeCell ref="L53:L55"/>
    <mergeCell ref="L57:L62"/>
    <mergeCell ref="L64:L66"/>
    <mergeCell ref="L68:L74"/>
    <mergeCell ref="L75:L81"/>
    <mergeCell ref="L82:L88"/>
    <mergeCell ref="L89:L95"/>
    <mergeCell ref="L97:L99"/>
    <mergeCell ref="L100:L103"/>
    <mergeCell ref="L106:L110"/>
    <mergeCell ref="L111:L115"/>
    <mergeCell ref="L117:L120"/>
    <mergeCell ref="L121:L124"/>
    <mergeCell ref="L125:L129"/>
    <mergeCell ref="L131:L135"/>
    <mergeCell ref="L136:L140"/>
    <mergeCell ref="L143:L146"/>
    <mergeCell ref="L148:L152"/>
    <mergeCell ref="L191:L194"/>
    <mergeCell ref="L153:L156"/>
    <mergeCell ref="L157:L159"/>
    <mergeCell ref="L161:L165"/>
    <mergeCell ref="L166:L169"/>
    <mergeCell ref="L170:L174"/>
    <mergeCell ref="L176:L178"/>
    <mergeCell ref="L179:L181"/>
    <mergeCell ref="L183:L185"/>
    <mergeCell ref="L186:L18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theme="7" tint="0.39997558519241921"/>
  </sheetPr>
  <dimension ref="A1:P205"/>
  <sheetViews>
    <sheetView workbookViewId="0">
      <selection sqref="A1:D2"/>
    </sheetView>
  </sheetViews>
  <sheetFormatPr baseColWidth="10" defaultColWidth="8.83203125" defaultRowHeight="14" outlineLevelRow="1" x14ac:dyDescent="0"/>
  <cols>
    <col min="5" max="5" width="76.83203125" bestFit="1" customWidth="1"/>
    <col min="6" max="6" width="23.6640625" bestFit="1" customWidth="1"/>
    <col min="7" max="7" width="9" style="246" bestFit="1" customWidth="1"/>
    <col min="8" max="8" width="5" style="246" bestFit="1" customWidth="1"/>
    <col min="9" max="10" width="15.6640625" customWidth="1"/>
    <col min="11" max="11" width="15.6640625" style="103" customWidth="1"/>
    <col min="12" max="12" width="20.6640625" style="104" customWidth="1"/>
    <col min="14" max="14" width="13.6640625" style="97" bestFit="1" customWidth="1"/>
  </cols>
  <sheetData>
    <row r="1" spans="1:14">
      <c r="A1" s="1243" t="s">
        <v>62</v>
      </c>
      <c r="B1" s="1243"/>
      <c r="C1" s="1243"/>
      <c r="D1" s="1243"/>
      <c r="E1" s="1254" t="s">
        <v>753</v>
      </c>
      <c r="F1" s="232"/>
      <c r="G1" s="245"/>
      <c r="H1" s="245"/>
      <c r="I1" s="232"/>
      <c r="J1" s="232"/>
      <c r="K1" s="238"/>
      <c r="L1" s="234"/>
    </row>
    <row r="2" spans="1:14">
      <c r="A2" s="1243"/>
      <c r="B2" s="1243"/>
      <c r="C2" s="1243"/>
      <c r="D2" s="1243"/>
      <c r="E2" s="1254"/>
      <c r="F2" s="232"/>
      <c r="G2" s="245"/>
      <c r="H2" s="245"/>
      <c r="I2" s="232"/>
      <c r="J2" s="232"/>
      <c r="K2" s="238"/>
      <c r="L2" s="234"/>
    </row>
    <row r="3" spans="1:14">
      <c r="A3" s="1245" t="s">
        <v>64</v>
      </c>
      <c r="B3" s="1245"/>
      <c r="C3" s="1245"/>
      <c r="D3" s="1245"/>
      <c r="E3" s="262">
        <v>4000</v>
      </c>
      <c r="F3" s="232"/>
      <c r="G3" s="245"/>
      <c r="H3" s="245"/>
      <c r="I3" s="232"/>
      <c r="J3" s="232"/>
      <c r="K3" s="238"/>
      <c r="L3" s="234"/>
    </row>
    <row r="4" spans="1:14">
      <c r="A4" s="1245" t="s">
        <v>359</v>
      </c>
      <c r="B4" s="1245"/>
      <c r="C4" s="1245"/>
      <c r="D4" s="1245"/>
      <c r="E4" s="263">
        <v>150</v>
      </c>
      <c r="F4" s="232"/>
      <c r="G4" s="245"/>
      <c r="H4" s="245"/>
      <c r="I4" s="232"/>
      <c r="J4" s="232"/>
      <c r="K4" s="238"/>
      <c r="L4" s="234"/>
    </row>
    <row r="5" spans="1:14" ht="15" customHeight="1">
      <c r="A5" s="1245" t="s">
        <v>491</v>
      </c>
      <c r="B5" s="1245"/>
      <c r="C5" s="1245"/>
      <c r="D5" s="1245"/>
      <c r="E5" s="263">
        <v>8</v>
      </c>
      <c r="F5" s="232"/>
      <c r="G5" s="245"/>
      <c r="H5" s="245"/>
      <c r="I5" s="232"/>
      <c r="J5" s="232"/>
      <c r="K5" s="238"/>
      <c r="L5" s="234"/>
    </row>
    <row r="6" spans="1:14" ht="15" thickBot="1">
      <c r="A6" s="1245" t="s">
        <v>361</v>
      </c>
      <c r="B6" s="1245"/>
      <c r="C6" s="1245"/>
      <c r="D6" s="1245"/>
      <c r="E6" s="263">
        <v>130</v>
      </c>
      <c r="F6" s="232"/>
      <c r="G6" s="245"/>
      <c r="H6" s="245"/>
      <c r="I6" s="232"/>
      <c r="J6" s="232"/>
      <c r="K6" s="238"/>
      <c r="L6" s="234"/>
    </row>
    <row r="7" spans="1:14" ht="27" thickBot="1">
      <c r="A7" s="232"/>
      <c r="B7" s="232"/>
      <c r="C7" s="232"/>
      <c r="D7" s="232"/>
      <c r="E7" s="232"/>
      <c r="F7" s="586" t="s">
        <v>363</v>
      </c>
      <c r="G7" s="587" t="s">
        <v>336</v>
      </c>
      <c r="H7" s="587" t="s">
        <v>337</v>
      </c>
      <c r="I7" s="588" t="s">
        <v>365</v>
      </c>
      <c r="J7" s="588" t="s">
        <v>366</v>
      </c>
      <c r="K7" s="539" t="s">
        <v>560</v>
      </c>
      <c r="L7" s="540" t="s">
        <v>368</v>
      </c>
      <c r="N7" s="251"/>
    </row>
    <row r="8" spans="1:14" s="30" customFormat="1" thickBot="1">
      <c r="A8" s="109"/>
      <c r="B8" s="447">
        <v>1</v>
      </c>
      <c r="C8" s="448" t="s">
        <v>28</v>
      </c>
      <c r="D8" s="449"/>
      <c r="E8" s="450"/>
      <c r="F8" s="451"/>
      <c r="G8" s="451"/>
      <c r="H8" s="451"/>
      <c r="I8" s="451"/>
      <c r="J8" s="451"/>
      <c r="K8" s="452"/>
      <c r="L8" s="590"/>
      <c r="N8" s="95"/>
    </row>
    <row r="9" spans="1:14" s="30" customFormat="1" thickBot="1">
      <c r="A9" s="109"/>
      <c r="B9" s="442">
        <v>1.1000000000000001</v>
      </c>
      <c r="C9" s="454" t="s">
        <v>0</v>
      </c>
      <c r="D9" s="443"/>
      <c r="E9" s="454"/>
      <c r="F9" s="444"/>
      <c r="G9" s="444"/>
      <c r="H9" s="444"/>
      <c r="I9" s="444"/>
      <c r="J9" s="444"/>
      <c r="K9" s="445"/>
      <c r="L9" s="575"/>
      <c r="N9" s="95"/>
    </row>
    <row r="10" spans="1:14" s="30" customFormat="1" ht="13" outlineLevel="1">
      <c r="A10" s="109"/>
      <c r="B10" s="1162" t="s">
        <v>515</v>
      </c>
      <c r="C10" s="1163"/>
      <c r="D10" s="1248" t="s">
        <v>370</v>
      </c>
      <c r="E10" s="392" t="s">
        <v>300</v>
      </c>
      <c r="F10" s="465"/>
      <c r="G10" s="393">
        <v>100</v>
      </c>
      <c r="H10" s="393" t="s">
        <v>360</v>
      </c>
      <c r="I10" s="394">
        <f>+VLOOKUP(E10,'Line items'!$B$3:$D$115,3,FALSE)</f>
        <v>80</v>
      </c>
      <c r="J10" s="394">
        <f>+I10*G10</f>
        <v>8000</v>
      </c>
      <c r="K10" s="1219">
        <f>+SUM(J10:J13)</f>
        <v>92500</v>
      </c>
      <c r="L10" s="1225">
        <f>+SUM(K10:K15)</f>
        <v>108500</v>
      </c>
      <c r="N10" s="95"/>
    </row>
    <row r="11" spans="1:14" s="30" customFormat="1" ht="13" outlineLevel="1">
      <c r="A11" s="109"/>
      <c r="B11" s="1164"/>
      <c r="C11" s="1160"/>
      <c r="D11" s="1249"/>
      <c r="E11" s="370" t="s">
        <v>648</v>
      </c>
      <c r="F11" s="466"/>
      <c r="G11" s="371">
        <v>100</v>
      </c>
      <c r="H11" s="371" t="s">
        <v>360</v>
      </c>
      <c r="I11" s="372">
        <f>+VLOOKUP(E11,'Line items'!$B$3:$D$115,3,FALSE)</f>
        <v>130</v>
      </c>
      <c r="J11" s="372">
        <f t="shared" ref="J11:J14" si="0">+I11*G11</f>
        <v>13000</v>
      </c>
      <c r="K11" s="1220"/>
      <c r="L11" s="1226"/>
      <c r="N11" s="95"/>
    </row>
    <row r="12" spans="1:14" s="30" customFormat="1" ht="13" outlineLevel="1">
      <c r="A12" s="109"/>
      <c r="B12" s="1164"/>
      <c r="C12" s="1160"/>
      <c r="D12" s="1249"/>
      <c r="E12" s="370" t="s">
        <v>759</v>
      </c>
      <c r="F12" s="467"/>
      <c r="G12" s="371">
        <v>320</v>
      </c>
      <c r="H12" s="371" t="s">
        <v>758</v>
      </c>
      <c r="I12" s="372">
        <f>+VLOOKUP(E12,'Line items'!$B$3:$D$102,3,FALSE)</f>
        <v>200</v>
      </c>
      <c r="J12" s="372">
        <f>+I12*G12</f>
        <v>64000</v>
      </c>
      <c r="K12" s="1220"/>
      <c r="L12" s="1226"/>
      <c r="N12" s="95"/>
    </row>
    <row r="13" spans="1:14" s="30" customFormat="1" ht="13" outlineLevel="1">
      <c r="A13" s="109"/>
      <c r="B13" s="1164"/>
      <c r="C13" s="1160"/>
      <c r="D13" s="1249"/>
      <c r="E13" s="370" t="s">
        <v>653</v>
      </c>
      <c r="F13" s="466"/>
      <c r="G13" s="371">
        <v>3</v>
      </c>
      <c r="H13" s="371" t="s">
        <v>364</v>
      </c>
      <c r="I13" s="372">
        <f>+VLOOKUP(E13,'Line items'!$B$3:$D$115,3,FALSE)</f>
        <v>2500</v>
      </c>
      <c r="J13" s="372">
        <f t="shared" si="0"/>
        <v>7500</v>
      </c>
      <c r="K13" s="1220"/>
      <c r="L13" s="1226"/>
      <c r="N13" s="95"/>
    </row>
    <row r="14" spans="1:14" s="30" customFormat="1" ht="13" outlineLevel="1">
      <c r="A14" s="109"/>
      <c r="B14" s="1164"/>
      <c r="C14" s="1160"/>
      <c r="D14" s="373" t="s">
        <v>369</v>
      </c>
      <c r="E14" s="370" t="s">
        <v>557</v>
      </c>
      <c r="F14" s="466"/>
      <c r="G14" s="371">
        <v>2</v>
      </c>
      <c r="H14" s="371" t="s">
        <v>364</v>
      </c>
      <c r="I14" s="372">
        <f>+VLOOKUP(E14,'Line items'!$B$3:$D$115,3,FALSE)</f>
        <v>8000</v>
      </c>
      <c r="J14" s="372">
        <f t="shared" si="0"/>
        <v>16000</v>
      </c>
      <c r="K14" s="533">
        <f>+J14</f>
        <v>16000</v>
      </c>
      <c r="L14" s="1226"/>
      <c r="N14" s="95"/>
    </row>
    <row r="15" spans="1:14" s="30" customFormat="1" outlineLevel="1" thickBot="1">
      <c r="A15" s="109"/>
      <c r="B15" s="1165"/>
      <c r="C15" s="1166"/>
      <c r="D15" s="395" t="s">
        <v>371</v>
      </c>
      <c r="E15" s="396" t="s">
        <v>301</v>
      </c>
      <c r="F15" s="468"/>
      <c r="G15" s="397"/>
      <c r="H15" s="397"/>
      <c r="I15" s="398"/>
      <c r="J15" s="398"/>
      <c r="K15" s="548"/>
      <c r="L15" s="1227"/>
      <c r="N15" s="95"/>
    </row>
    <row r="16" spans="1:14" s="30" customFormat="1" ht="13" outlineLevel="1">
      <c r="A16" s="109"/>
      <c r="B16" s="1162" t="s">
        <v>516</v>
      </c>
      <c r="C16" s="1163"/>
      <c r="D16" s="400" t="s">
        <v>380</v>
      </c>
      <c r="E16" s="401" t="s">
        <v>302</v>
      </c>
      <c r="F16" s="469"/>
      <c r="G16" s="402"/>
      <c r="H16" s="402"/>
      <c r="I16" s="403"/>
      <c r="J16" s="403"/>
      <c r="K16" s="549"/>
      <c r="L16" s="1229">
        <f>+SUM(K16:K18)</f>
        <v>0</v>
      </c>
      <c r="N16" s="95"/>
    </row>
    <row r="17" spans="1:14" s="30" customFormat="1" ht="13" outlineLevel="1">
      <c r="A17" s="109"/>
      <c r="B17" s="1164"/>
      <c r="C17" s="1160"/>
      <c r="D17" s="373" t="s">
        <v>373</v>
      </c>
      <c r="E17" s="374" t="s">
        <v>88</v>
      </c>
      <c r="F17" s="467"/>
      <c r="G17" s="375"/>
      <c r="H17" s="375"/>
      <c r="I17" s="376"/>
      <c r="J17" s="376"/>
      <c r="K17" s="532"/>
      <c r="L17" s="1230"/>
      <c r="N17" s="95"/>
    </row>
    <row r="18" spans="1:14" s="30" customFormat="1" outlineLevel="1" thickBot="1">
      <c r="A18" s="109"/>
      <c r="B18" s="1165"/>
      <c r="C18" s="1166"/>
      <c r="D18" s="395" t="s">
        <v>372</v>
      </c>
      <c r="E18" s="396" t="s">
        <v>88</v>
      </c>
      <c r="F18" s="468"/>
      <c r="G18" s="397"/>
      <c r="H18" s="397"/>
      <c r="I18" s="398"/>
      <c r="J18" s="398"/>
      <c r="K18" s="548"/>
      <c r="L18" s="1231"/>
      <c r="N18" s="95"/>
    </row>
    <row r="19" spans="1:14" s="30" customFormat="1" ht="13" outlineLevel="1">
      <c r="A19" s="109"/>
      <c r="B19" s="1162" t="s">
        <v>517</v>
      </c>
      <c r="C19" s="1163"/>
      <c r="D19" s="405" t="s">
        <v>374</v>
      </c>
      <c r="E19" s="401" t="s">
        <v>88</v>
      </c>
      <c r="F19" s="469"/>
      <c r="G19" s="402"/>
      <c r="H19" s="402"/>
      <c r="I19" s="403"/>
      <c r="J19" s="403"/>
      <c r="K19" s="549"/>
      <c r="L19" s="1225">
        <f>+SUM(K19:K21)</f>
        <v>0</v>
      </c>
      <c r="N19" s="95"/>
    </row>
    <row r="20" spans="1:14" s="30" customFormat="1" ht="13" outlineLevel="1">
      <c r="A20" s="109"/>
      <c r="B20" s="1164"/>
      <c r="C20" s="1160"/>
      <c r="D20" s="378" t="s">
        <v>375</v>
      </c>
      <c r="E20" s="374" t="s">
        <v>88</v>
      </c>
      <c r="F20" s="467"/>
      <c r="G20" s="375"/>
      <c r="H20" s="375"/>
      <c r="I20" s="376"/>
      <c r="J20" s="376"/>
      <c r="K20" s="532"/>
      <c r="L20" s="1226"/>
      <c r="N20" s="95"/>
    </row>
    <row r="21" spans="1:14" s="30" customFormat="1" outlineLevel="1" thickBot="1">
      <c r="A21" s="109"/>
      <c r="B21" s="1165"/>
      <c r="C21" s="1166"/>
      <c r="D21" s="406" t="s">
        <v>376</v>
      </c>
      <c r="E21" s="396" t="s">
        <v>88</v>
      </c>
      <c r="F21" s="468"/>
      <c r="G21" s="397"/>
      <c r="H21" s="397"/>
      <c r="I21" s="398"/>
      <c r="J21" s="398"/>
      <c r="K21" s="548"/>
      <c r="L21" s="1227"/>
      <c r="N21" s="95"/>
    </row>
    <row r="22" spans="1:14" s="30" customFormat="1" ht="13" outlineLevel="1">
      <c r="A22" s="109"/>
      <c r="B22" s="1162" t="s">
        <v>518</v>
      </c>
      <c r="C22" s="1163"/>
      <c r="D22" s="1248" t="s">
        <v>377</v>
      </c>
      <c r="E22" s="392" t="s">
        <v>305</v>
      </c>
      <c r="F22" s="465"/>
      <c r="G22" s="393">
        <v>1</v>
      </c>
      <c r="H22" s="393" t="s">
        <v>364</v>
      </c>
      <c r="I22" s="394">
        <f>+VLOOKUP(E22,'Line items'!$B$3:$D$115,3,FALSE)</f>
        <v>2500</v>
      </c>
      <c r="J22" s="394">
        <f t="shared" ref="J22:J26" si="1">+I22*G22</f>
        <v>2500</v>
      </c>
      <c r="K22" s="1219">
        <f>+SUM(J22:J24)</f>
        <v>12500</v>
      </c>
      <c r="L22" s="1225">
        <f>+SUM(K22:K26)</f>
        <v>76500</v>
      </c>
      <c r="N22" s="95"/>
    </row>
    <row r="23" spans="1:14" s="30" customFormat="1" ht="13" outlineLevel="1">
      <c r="A23" s="109"/>
      <c r="B23" s="1164"/>
      <c r="C23" s="1160"/>
      <c r="D23" s="1249"/>
      <c r="E23" s="370" t="s">
        <v>306</v>
      </c>
      <c r="F23" s="466"/>
      <c r="G23" s="371">
        <v>1</v>
      </c>
      <c r="H23" s="371" t="s">
        <v>364</v>
      </c>
      <c r="I23" s="372">
        <f>+VLOOKUP(E23,'Line items'!$B$3:$D$115,3,FALSE)</f>
        <v>10000</v>
      </c>
      <c r="J23" s="372">
        <f t="shared" si="1"/>
        <v>10000</v>
      </c>
      <c r="K23" s="1220"/>
      <c r="L23" s="1226"/>
      <c r="N23" s="95"/>
    </row>
    <row r="24" spans="1:14" s="30" customFormat="1" ht="13" outlineLevel="1">
      <c r="A24" s="109"/>
      <c r="B24" s="1164"/>
      <c r="C24" s="1160"/>
      <c r="D24" s="1249"/>
      <c r="E24" s="379" t="s">
        <v>307</v>
      </c>
      <c r="F24" s="467"/>
      <c r="G24" s="375"/>
      <c r="H24" s="375" t="s">
        <v>360</v>
      </c>
      <c r="I24" s="372"/>
      <c r="J24" s="376">
        <f t="shared" si="1"/>
        <v>0</v>
      </c>
      <c r="K24" s="1220"/>
      <c r="L24" s="1226"/>
      <c r="N24" s="95"/>
    </row>
    <row r="25" spans="1:14" s="30" customFormat="1" ht="13" outlineLevel="1">
      <c r="A25" s="109"/>
      <c r="B25" s="1164"/>
      <c r="C25" s="1160"/>
      <c r="D25" s="373" t="s">
        <v>378</v>
      </c>
      <c r="E25" s="370" t="s">
        <v>170</v>
      </c>
      <c r="F25" s="467"/>
      <c r="G25" s="375">
        <f>G12</f>
        <v>320</v>
      </c>
      <c r="H25" s="375" t="s">
        <v>758</v>
      </c>
      <c r="I25" s="372">
        <f>+VLOOKUP(E25,'Line items'!$B$3:$D$115,3,FALSE)</f>
        <v>200</v>
      </c>
      <c r="J25" s="376">
        <f t="shared" si="1"/>
        <v>64000</v>
      </c>
      <c r="K25" s="533">
        <f>+J25</f>
        <v>64000</v>
      </c>
      <c r="L25" s="1226"/>
      <c r="N25" s="95"/>
    </row>
    <row r="26" spans="1:14" s="30" customFormat="1" outlineLevel="1" thickBot="1">
      <c r="A26" s="109"/>
      <c r="B26" s="1165"/>
      <c r="C26" s="1166"/>
      <c r="D26" s="395" t="s">
        <v>379</v>
      </c>
      <c r="E26" s="370" t="s">
        <v>170</v>
      </c>
      <c r="F26" s="477"/>
      <c r="G26" s="440">
        <v>0</v>
      </c>
      <c r="H26" s="440" t="s">
        <v>758</v>
      </c>
      <c r="I26" s="408">
        <f>+VLOOKUP(E26,'Line items'!$B$3:$D$115,3,FALSE)</f>
        <v>200</v>
      </c>
      <c r="J26" s="408">
        <f t="shared" si="1"/>
        <v>0</v>
      </c>
      <c r="K26" s="550">
        <f>+J26</f>
        <v>0</v>
      </c>
      <c r="L26" s="1227"/>
      <c r="N26" s="95"/>
    </row>
    <row r="27" spans="1:14" s="30" customFormat="1" thickBot="1">
      <c r="A27" s="109"/>
      <c r="B27" s="442">
        <v>1.2</v>
      </c>
      <c r="C27" s="1167" t="s">
        <v>4</v>
      </c>
      <c r="D27" s="1167"/>
      <c r="E27" s="1167"/>
      <c r="F27" s="464"/>
      <c r="G27" s="444"/>
      <c r="H27" s="444"/>
      <c r="I27" s="444"/>
      <c r="J27" s="444"/>
      <c r="K27" s="445"/>
      <c r="L27" s="446"/>
      <c r="N27" s="95"/>
    </row>
    <row r="28" spans="1:14" s="30" customFormat="1" ht="13" outlineLevel="1">
      <c r="A28" s="109"/>
      <c r="B28" s="1162" t="s">
        <v>519</v>
      </c>
      <c r="C28" s="1163"/>
      <c r="D28" s="1248" t="s">
        <v>381</v>
      </c>
      <c r="E28" s="392" t="s">
        <v>657</v>
      </c>
      <c r="F28" s="469"/>
      <c r="G28" s="402">
        <v>300</v>
      </c>
      <c r="H28" s="402" t="s">
        <v>360</v>
      </c>
      <c r="I28" s="394">
        <f>+VLOOKUP(E28,'Line items'!$B$3:$D$115,3,FALSE)</f>
        <v>80</v>
      </c>
      <c r="J28" s="403">
        <f t="shared" ref="J28:J30" si="2">+I28*G28</f>
        <v>24000</v>
      </c>
      <c r="K28" s="1217">
        <f>+SUM(J28:J30)</f>
        <v>94500</v>
      </c>
      <c r="L28" s="1225">
        <f>+SUM(K28:K32)</f>
        <v>94500</v>
      </c>
      <c r="N28" s="95"/>
    </row>
    <row r="29" spans="1:14" s="30" customFormat="1" ht="13" outlineLevel="1">
      <c r="A29" s="109"/>
      <c r="B29" s="1164"/>
      <c r="C29" s="1160"/>
      <c r="D29" s="1249"/>
      <c r="E29" s="374" t="s">
        <v>659</v>
      </c>
      <c r="F29" s="467"/>
      <c r="G29" s="375">
        <v>300</v>
      </c>
      <c r="H29" s="375" t="s">
        <v>360</v>
      </c>
      <c r="I29" s="372">
        <f>+VLOOKUP(E29,'Line items'!$B$3:$D$115,3,FALSE)</f>
        <v>210</v>
      </c>
      <c r="J29" s="376">
        <f t="shared" si="2"/>
        <v>63000</v>
      </c>
      <c r="K29" s="1218"/>
      <c r="L29" s="1226"/>
      <c r="N29" s="95"/>
    </row>
    <row r="30" spans="1:14" s="30" customFormat="1" ht="13" outlineLevel="1">
      <c r="A30" s="109"/>
      <c r="B30" s="1164"/>
      <c r="C30" s="1160"/>
      <c r="D30" s="1249"/>
      <c r="E30" s="370" t="s">
        <v>660</v>
      </c>
      <c r="F30" s="467"/>
      <c r="G30" s="375">
        <v>3</v>
      </c>
      <c r="H30" s="375" t="s">
        <v>364</v>
      </c>
      <c r="I30" s="372">
        <f>+VLOOKUP(E30,'Line items'!$B$3:$D$115,3,FALSE)</f>
        <v>2500</v>
      </c>
      <c r="J30" s="376">
        <f t="shared" si="2"/>
        <v>7500</v>
      </c>
      <c r="K30" s="1218"/>
      <c r="L30" s="1226"/>
      <c r="N30" s="95"/>
    </row>
    <row r="31" spans="1:14" s="30" customFormat="1" ht="13" outlineLevel="1">
      <c r="A31" s="109"/>
      <c r="B31" s="1164"/>
      <c r="C31" s="1160"/>
      <c r="D31" s="373" t="s">
        <v>382</v>
      </c>
      <c r="E31" s="374" t="s">
        <v>88</v>
      </c>
      <c r="F31" s="467"/>
      <c r="G31" s="375"/>
      <c r="H31" s="375"/>
      <c r="I31" s="376"/>
      <c r="J31" s="376"/>
      <c r="K31" s="534"/>
      <c r="L31" s="1226"/>
      <c r="N31" s="95"/>
    </row>
    <row r="32" spans="1:14" s="30" customFormat="1" outlineLevel="1" thickBot="1">
      <c r="A32" s="109"/>
      <c r="B32" s="1165"/>
      <c r="C32" s="1166"/>
      <c r="D32" s="395" t="s">
        <v>383</v>
      </c>
      <c r="E32" s="396" t="s">
        <v>301</v>
      </c>
      <c r="F32" s="468"/>
      <c r="G32" s="397"/>
      <c r="H32" s="397"/>
      <c r="I32" s="398"/>
      <c r="J32" s="398"/>
      <c r="K32" s="551"/>
      <c r="L32" s="1227"/>
      <c r="N32" s="95"/>
    </row>
    <row r="33" spans="1:14" s="30" customFormat="1" ht="13" outlineLevel="1">
      <c r="A33" s="109"/>
      <c r="B33" s="1162" t="s">
        <v>520</v>
      </c>
      <c r="C33" s="1163"/>
      <c r="D33" s="1248" t="s">
        <v>384</v>
      </c>
      <c r="E33" s="392" t="s">
        <v>655</v>
      </c>
      <c r="F33" s="469"/>
      <c r="G33" s="402">
        <v>300</v>
      </c>
      <c r="H33" s="402" t="s">
        <v>360</v>
      </c>
      <c r="I33" s="394">
        <f>+VLOOKUP(E33,'Line items'!$B$3:$D$115,3,FALSE)</f>
        <v>100</v>
      </c>
      <c r="J33" s="403">
        <f t="shared" ref="J33:J34" si="3">+I33*G33</f>
        <v>30000</v>
      </c>
      <c r="K33" s="1186">
        <f>+SUM(J33:J34)</f>
        <v>69000</v>
      </c>
      <c r="L33" s="1225">
        <f>+SUM(K33:K36)</f>
        <v>69000</v>
      </c>
      <c r="N33" s="95"/>
    </row>
    <row r="34" spans="1:14" s="30" customFormat="1" ht="13" outlineLevel="1">
      <c r="A34" s="109"/>
      <c r="B34" s="1164"/>
      <c r="C34" s="1160"/>
      <c r="D34" s="1249"/>
      <c r="E34" s="374" t="s">
        <v>661</v>
      </c>
      <c r="F34" s="467"/>
      <c r="G34" s="375">
        <v>300</v>
      </c>
      <c r="H34" s="375" t="s">
        <v>360</v>
      </c>
      <c r="I34" s="372">
        <f>+VLOOKUP(E34,'Line items'!$B$3:$D$115,3,FALSE)</f>
        <v>130</v>
      </c>
      <c r="J34" s="376">
        <f t="shared" si="3"/>
        <v>39000</v>
      </c>
      <c r="K34" s="1180"/>
      <c r="L34" s="1226"/>
      <c r="N34" s="95"/>
    </row>
    <row r="35" spans="1:14" s="30" customFormat="1" ht="13" outlineLevel="1">
      <c r="A35" s="109"/>
      <c r="B35" s="1164"/>
      <c r="C35" s="1160"/>
      <c r="D35" s="373" t="s">
        <v>385</v>
      </c>
      <c r="E35" s="374" t="s">
        <v>88</v>
      </c>
      <c r="F35" s="467"/>
      <c r="G35" s="375"/>
      <c r="H35" s="375"/>
      <c r="I35" s="376"/>
      <c r="J35" s="376"/>
      <c r="K35" s="534"/>
      <c r="L35" s="1226"/>
      <c r="N35" s="95"/>
    </row>
    <row r="36" spans="1:14" s="30" customFormat="1" outlineLevel="1" thickBot="1">
      <c r="A36" s="109"/>
      <c r="B36" s="1165"/>
      <c r="C36" s="1166"/>
      <c r="D36" s="395" t="s">
        <v>386</v>
      </c>
      <c r="E36" s="396" t="s">
        <v>301</v>
      </c>
      <c r="F36" s="468"/>
      <c r="G36" s="397"/>
      <c r="H36" s="397"/>
      <c r="I36" s="398"/>
      <c r="J36" s="398"/>
      <c r="K36" s="551"/>
      <c r="L36" s="1227"/>
      <c r="N36" s="95"/>
    </row>
    <row r="37" spans="1:14" s="30" customFormat="1" ht="13" outlineLevel="1">
      <c r="A37" s="109"/>
      <c r="B37" s="1162" t="s">
        <v>521</v>
      </c>
      <c r="C37" s="1163"/>
      <c r="D37" s="400" t="s">
        <v>387</v>
      </c>
      <c r="E37" s="422" t="s">
        <v>308</v>
      </c>
      <c r="F37" s="469"/>
      <c r="G37" s="402">
        <f>+VLOOKUP($E37,Supermarket!$E$10:$G$193,3,FALSE)</f>
        <v>150</v>
      </c>
      <c r="H37" s="402" t="s">
        <v>360</v>
      </c>
      <c r="I37" s="403">
        <f>+VLOOKUP($E37,Supermarket!$E$10:$I$193,5,FALSE)</f>
        <v>0</v>
      </c>
      <c r="J37" s="403">
        <f t="shared" ref="J37:J45" si="4">+I37*G37</f>
        <v>0</v>
      </c>
      <c r="K37" s="552">
        <f>+J37</f>
        <v>0</v>
      </c>
      <c r="L37" s="1225">
        <f>+SUM(K37:K41)</f>
        <v>67500</v>
      </c>
      <c r="N37" s="95"/>
    </row>
    <row r="38" spans="1:14" s="30" customFormat="1" ht="13" outlineLevel="1">
      <c r="A38" s="109"/>
      <c r="B38" s="1164"/>
      <c r="C38" s="1160"/>
      <c r="D38" s="1249" t="s">
        <v>388</v>
      </c>
      <c r="E38" s="370" t="s">
        <v>662</v>
      </c>
      <c r="F38" s="467"/>
      <c r="G38" s="375">
        <f>+VLOOKUP($E38,Supermarket!$E$10:$G$193,3,FALSE)</f>
        <v>1</v>
      </c>
      <c r="H38" s="375" t="s">
        <v>364</v>
      </c>
      <c r="I38" s="372">
        <f>+VLOOKUP(E38,'Line items'!$B$3:$D$115,3,FALSE)</f>
        <v>30000</v>
      </c>
      <c r="J38" s="376">
        <f t="shared" si="4"/>
        <v>30000</v>
      </c>
      <c r="K38" s="1220">
        <f>+SUM(J38:J40)</f>
        <v>67500</v>
      </c>
      <c r="L38" s="1226"/>
      <c r="N38" s="95"/>
    </row>
    <row r="39" spans="1:14" s="30" customFormat="1" ht="13" outlineLevel="1">
      <c r="A39" s="109"/>
      <c r="B39" s="1164"/>
      <c r="C39" s="1160"/>
      <c r="D39" s="1249"/>
      <c r="E39" s="370" t="s">
        <v>663</v>
      </c>
      <c r="F39" s="467"/>
      <c r="G39" s="375">
        <f>+VLOOKUP($E39,Supermarket!$E$10:$G$193,3,FALSE)</f>
        <v>150</v>
      </c>
      <c r="H39" s="375" t="s">
        <v>360</v>
      </c>
      <c r="I39" s="372">
        <f>+VLOOKUP(E39,'Line items'!$B$3:$D$115,3,FALSE)</f>
        <v>210</v>
      </c>
      <c r="J39" s="376">
        <f t="shared" si="4"/>
        <v>31500</v>
      </c>
      <c r="K39" s="1220"/>
      <c r="L39" s="1226"/>
      <c r="N39" s="95"/>
    </row>
    <row r="40" spans="1:14" s="30" customFormat="1" ht="13" outlineLevel="1">
      <c r="A40" s="109"/>
      <c r="B40" s="1164"/>
      <c r="C40" s="1160"/>
      <c r="D40" s="1249"/>
      <c r="E40" s="370" t="s">
        <v>309</v>
      </c>
      <c r="F40" s="467"/>
      <c r="G40" s="375">
        <f>+VLOOKUP($E40,Supermarket!$E$10:$G$193,3,FALSE)</f>
        <v>150</v>
      </c>
      <c r="H40" s="375" t="s">
        <v>360</v>
      </c>
      <c r="I40" s="372">
        <f>+VLOOKUP(E40,'Line items'!$B$3:$D$115,3,FALSE)</f>
        <v>40</v>
      </c>
      <c r="J40" s="376">
        <f t="shared" si="4"/>
        <v>6000</v>
      </c>
      <c r="K40" s="1220"/>
      <c r="L40" s="1226"/>
      <c r="N40" s="95"/>
    </row>
    <row r="41" spans="1:14" s="30" customFormat="1" outlineLevel="1" thickBot="1">
      <c r="A41" s="109"/>
      <c r="B41" s="1165"/>
      <c r="C41" s="1166"/>
      <c r="D41" s="395" t="s">
        <v>389</v>
      </c>
      <c r="E41" s="439" t="s">
        <v>301</v>
      </c>
      <c r="F41" s="468"/>
      <c r="G41" s="397"/>
      <c r="H41" s="397"/>
      <c r="I41" s="398">
        <f>+VLOOKUP($E41,Supermarket!$E$10:$I$193,5,FALSE)</f>
        <v>0</v>
      </c>
      <c r="J41" s="398">
        <f t="shared" si="4"/>
        <v>0</v>
      </c>
      <c r="K41" s="550">
        <f t="shared" ref="K41:K42" si="5">+J41</f>
        <v>0</v>
      </c>
      <c r="L41" s="1227"/>
      <c r="N41" s="95"/>
    </row>
    <row r="42" spans="1:14" s="30" customFormat="1" ht="13" outlineLevel="1">
      <c r="A42" s="109"/>
      <c r="B42" s="1162" t="s">
        <v>522</v>
      </c>
      <c r="C42" s="1163"/>
      <c r="D42" s="400" t="s">
        <v>390</v>
      </c>
      <c r="E42" s="422" t="s">
        <v>308</v>
      </c>
      <c r="F42" s="469"/>
      <c r="G42" s="402">
        <f>+VLOOKUP($E42,Supermarket!$E$10:$G$193,3,FALSE)</f>
        <v>150</v>
      </c>
      <c r="H42" s="402" t="s">
        <v>360</v>
      </c>
      <c r="I42" s="403">
        <f>+VLOOKUP($E42,Supermarket!$E$10:$I$193,5,FALSE)</f>
        <v>0</v>
      </c>
      <c r="J42" s="403">
        <f t="shared" si="4"/>
        <v>0</v>
      </c>
      <c r="K42" s="552">
        <f t="shared" si="5"/>
        <v>0</v>
      </c>
      <c r="L42" s="1225">
        <f>+SUM(K42:K46)</f>
        <v>67500</v>
      </c>
      <c r="N42" s="95"/>
    </row>
    <row r="43" spans="1:14" s="30" customFormat="1" ht="13" outlineLevel="1">
      <c r="A43" s="109"/>
      <c r="B43" s="1164"/>
      <c r="C43" s="1160"/>
      <c r="D43" s="1249" t="s">
        <v>391</v>
      </c>
      <c r="E43" s="370" t="s">
        <v>662</v>
      </c>
      <c r="F43" s="467"/>
      <c r="G43" s="375">
        <f>+VLOOKUP($E43,Supermarket!$E$10:$G$193,3,FALSE)</f>
        <v>1</v>
      </c>
      <c r="H43" s="375" t="s">
        <v>364</v>
      </c>
      <c r="I43" s="372">
        <f>+VLOOKUP(E43,'Line items'!$B$3:$D$115,3,FALSE)</f>
        <v>30000</v>
      </c>
      <c r="J43" s="376">
        <f t="shared" si="4"/>
        <v>30000</v>
      </c>
      <c r="K43" s="1220">
        <f>+SUM(J43:J45)</f>
        <v>67500</v>
      </c>
      <c r="L43" s="1226"/>
      <c r="N43" s="95"/>
    </row>
    <row r="44" spans="1:14" s="30" customFormat="1" ht="13" outlineLevel="1">
      <c r="A44" s="109"/>
      <c r="B44" s="1164"/>
      <c r="C44" s="1160"/>
      <c r="D44" s="1249"/>
      <c r="E44" s="370" t="s">
        <v>663</v>
      </c>
      <c r="F44" s="472"/>
      <c r="G44" s="371">
        <f>+VLOOKUP($E44,Supermarket!$E$10:$G$193,3,FALSE)</f>
        <v>150</v>
      </c>
      <c r="H44" s="371" t="s">
        <v>360</v>
      </c>
      <c r="I44" s="372">
        <f>+VLOOKUP(E44,'Line items'!$B$3:$D$115,3,FALSE)</f>
        <v>210</v>
      </c>
      <c r="J44" s="372">
        <f t="shared" si="4"/>
        <v>31500</v>
      </c>
      <c r="K44" s="1220"/>
      <c r="L44" s="1226"/>
      <c r="N44" s="95"/>
    </row>
    <row r="45" spans="1:14" s="30" customFormat="1" ht="13" outlineLevel="1">
      <c r="A45" s="109"/>
      <c r="B45" s="1164"/>
      <c r="C45" s="1160"/>
      <c r="D45" s="1249"/>
      <c r="E45" s="370" t="s">
        <v>309</v>
      </c>
      <c r="F45" s="466"/>
      <c r="G45" s="371">
        <f>+VLOOKUP($E45,Supermarket!$E$10:$G$193,3,FALSE)</f>
        <v>150</v>
      </c>
      <c r="H45" s="371" t="s">
        <v>360</v>
      </c>
      <c r="I45" s="372">
        <f>+VLOOKUP(E45,'Line items'!$B$3:$D$115,3,FALSE)</f>
        <v>40</v>
      </c>
      <c r="J45" s="372">
        <f t="shared" si="4"/>
        <v>6000</v>
      </c>
      <c r="K45" s="1220"/>
      <c r="L45" s="1226"/>
      <c r="N45" s="95"/>
    </row>
    <row r="46" spans="1:14" s="30" customFormat="1" outlineLevel="1" thickBot="1">
      <c r="A46" s="109"/>
      <c r="B46" s="1165"/>
      <c r="C46" s="1166"/>
      <c r="D46" s="395" t="s">
        <v>392</v>
      </c>
      <c r="E46" s="396" t="s">
        <v>301</v>
      </c>
      <c r="F46" s="468"/>
      <c r="G46" s="397"/>
      <c r="H46" s="397"/>
      <c r="I46" s="398"/>
      <c r="J46" s="398"/>
      <c r="K46" s="551"/>
      <c r="L46" s="1227"/>
      <c r="N46" s="95"/>
    </row>
    <row r="47" spans="1:14" s="30" customFormat="1" outlineLevel="1" thickBot="1">
      <c r="A47" s="109"/>
      <c r="B47" s="1233" t="s">
        <v>523</v>
      </c>
      <c r="C47" s="1234"/>
      <c r="D47" s="553" t="s">
        <v>393</v>
      </c>
      <c r="E47" s="432" t="s">
        <v>88</v>
      </c>
      <c r="F47" s="473"/>
      <c r="G47" s="434"/>
      <c r="H47" s="433"/>
      <c r="I47" s="435"/>
      <c r="J47" s="435"/>
      <c r="K47" s="554"/>
      <c r="L47" s="580">
        <f>+K47</f>
        <v>0</v>
      </c>
      <c r="N47" s="95"/>
    </row>
    <row r="48" spans="1:14" s="30" customFormat="1" thickBot="1">
      <c r="A48" s="109"/>
      <c r="B48" s="442">
        <v>1.3</v>
      </c>
      <c r="C48" s="1167" t="s">
        <v>32</v>
      </c>
      <c r="D48" s="1167"/>
      <c r="E48" s="1167"/>
      <c r="F48" s="464"/>
      <c r="G48" s="444"/>
      <c r="H48" s="444"/>
      <c r="I48" s="444"/>
      <c r="J48" s="444"/>
      <c r="K48" s="445"/>
      <c r="L48" s="446"/>
      <c r="N48" s="95"/>
    </row>
    <row r="49" spans="1:16" s="30" customFormat="1" outlineLevel="1">
      <c r="A49" s="109"/>
      <c r="B49" s="1162" t="s">
        <v>524</v>
      </c>
      <c r="C49" s="1163"/>
      <c r="D49" s="400" t="s">
        <v>396</v>
      </c>
      <c r="E49" s="438" t="s">
        <v>664</v>
      </c>
      <c r="F49" s="465"/>
      <c r="G49" s="393">
        <v>3</v>
      </c>
      <c r="H49" s="393" t="s">
        <v>364</v>
      </c>
      <c r="I49" s="394">
        <f>+VLOOKUP(E49,'Line items'!$B$3:$D$115,3,FALSE)</f>
        <v>1000</v>
      </c>
      <c r="J49" s="394">
        <f t="shared" ref="J49:J51" si="6">+I49*G49</f>
        <v>3000</v>
      </c>
      <c r="K49" s="1219">
        <f>+SUM(J49:J51)</f>
        <v>63000</v>
      </c>
      <c r="L49" s="1225">
        <f>+SUM(K49:K51)</f>
        <v>63000</v>
      </c>
      <c r="N49" s="95"/>
      <c r="O49" s="95"/>
      <c r="P49" s="96"/>
    </row>
    <row r="50" spans="1:16" s="30" customFormat="1" ht="13" outlineLevel="1">
      <c r="A50" s="109"/>
      <c r="B50" s="1164"/>
      <c r="C50" s="1160"/>
      <c r="D50" s="373" t="s">
        <v>397</v>
      </c>
      <c r="E50" s="370" t="s">
        <v>665</v>
      </c>
      <c r="F50" s="466"/>
      <c r="G50" s="371">
        <v>300</v>
      </c>
      <c r="H50" s="371" t="s">
        <v>360</v>
      </c>
      <c r="I50" s="372">
        <f>+VLOOKUP(E50,'Line items'!$B$3:$D$115,3,FALSE)</f>
        <v>200</v>
      </c>
      <c r="J50" s="372">
        <f t="shared" si="6"/>
        <v>60000</v>
      </c>
      <c r="K50" s="1220"/>
      <c r="L50" s="1226"/>
      <c r="N50" s="95"/>
    </row>
    <row r="51" spans="1:16" s="30" customFormat="1" outlineLevel="1" thickBot="1">
      <c r="A51" s="109"/>
      <c r="B51" s="1165"/>
      <c r="C51" s="1166"/>
      <c r="D51" s="395" t="s">
        <v>398</v>
      </c>
      <c r="E51" s="439" t="s">
        <v>310</v>
      </c>
      <c r="F51" s="591" t="s">
        <v>755</v>
      </c>
      <c r="G51" s="440">
        <v>1</v>
      </c>
      <c r="H51" s="440" t="s">
        <v>364</v>
      </c>
      <c r="I51" s="408">
        <f>+VLOOKUP($E51,Supermarket!$E$10:$I$193,5,FALSE)</f>
        <v>0</v>
      </c>
      <c r="J51" s="408">
        <f t="shared" si="6"/>
        <v>0</v>
      </c>
      <c r="K51" s="1232"/>
      <c r="L51" s="1227"/>
      <c r="N51" s="95"/>
    </row>
    <row r="52" spans="1:16" s="30" customFormat="1" thickBot="1">
      <c r="A52" s="109"/>
      <c r="B52" s="442">
        <v>1.4</v>
      </c>
      <c r="C52" s="1167" t="s">
        <v>14</v>
      </c>
      <c r="D52" s="1167"/>
      <c r="E52" s="1167"/>
      <c r="F52" s="464"/>
      <c r="G52" s="444"/>
      <c r="H52" s="444"/>
      <c r="I52" s="444"/>
      <c r="J52" s="444"/>
      <c r="K52" s="445"/>
      <c r="L52" s="446"/>
      <c r="N52" s="95"/>
    </row>
    <row r="53" spans="1:16" s="30" customFormat="1" ht="13" outlineLevel="1">
      <c r="A53" s="109"/>
      <c r="B53" s="1162" t="s">
        <v>525</v>
      </c>
      <c r="C53" s="1163"/>
      <c r="D53" s="400" t="s">
        <v>399</v>
      </c>
      <c r="E53" s="401" t="s">
        <v>301</v>
      </c>
      <c r="F53" s="469"/>
      <c r="G53" s="402"/>
      <c r="H53" s="402"/>
      <c r="I53" s="403"/>
      <c r="J53" s="403"/>
      <c r="K53" s="557"/>
      <c r="L53" s="1225">
        <f>+SUM(K53:K55)</f>
        <v>0</v>
      </c>
      <c r="N53" s="95"/>
    </row>
    <row r="54" spans="1:16" s="30" customFormat="1" ht="13" outlineLevel="1">
      <c r="A54" s="109"/>
      <c r="B54" s="1164"/>
      <c r="C54" s="1160"/>
      <c r="D54" s="373" t="s">
        <v>426</v>
      </c>
      <c r="E54" s="374" t="s">
        <v>301</v>
      </c>
      <c r="F54" s="467"/>
      <c r="G54" s="375"/>
      <c r="H54" s="375"/>
      <c r="I54" s="376"/>
      <c r="J54" s="376"/>
      <c r="K54" s="534"/>
      <c r="L54" s="1226"/>
      <c r="N54" s="95"/>
    </row>
    <row r="55" spans="1:16" s="30" customFormat="1" outlineLevel="1" thickBot="1">
      <c r="A55" s="109"/>
      <c r="B55" s="1165"/>
      <c r="C55" s="1166"/>
      <c r="D55" s="395" t="s">
        <v>401</v>
      </c>
      <c r="E55" s="396" t="s">
        <v>301</v>
      </c>
      <c r="F55" s="468"/>
      <c r="G55" s="397"/>
      <c r="H55" s="397"/>
      <c r="I55" s="398"/>
      <c r="J55" s="398"/>
      <c r="K55" s="551"/>
      <c r="L55" s="1227"/>
      <c r="N55" s="95"/>
    </row>
    <row r="56" spans="1:16" s="30" customFormat="1" thickBot="1">
      <c r="A56" s="109"/>
      <c r="B56" s="442">
        <v>1.5</v>
      </c>
      <c r="C56" s="1167" t="s">
        <v>16</v>
      </c>
      <c r="D56" s="1167"/>
      <c r="E56" s="1167"/>
      <c r="F56" s="464"/>
      <c r="G56" s="444"/>
      <c r="H56" s="444"/>
      <c r="I56" s="444"/>
      <c r="J56" s="444"/>
      <c r="K56" s="445"/>
      <c r="L56" s="446"/>
      <c r="N56" s="95"/>
    </row>
    <row r="57" spans="1:16" s="30" customFormat="1" ht="13" outlineLevel="1">
      <c r="A57" s="109"/>
      <c r="B57" s="1162" t="s">
        <v>526</v>
      </c>
      <c r="C57" s="1163"/>
      <c r="D57" s="1248" t="s">
        <v>402</v>
      </c>
      <c r="E57" s="392" t="s">
        <v>490</v>
      </c>
      <c r="F57" s="465"/>
      <c r="G57" s="393">
        <v>2</v>
      </c>
      <c r="H57" s="393" t="s">
        <v>364</v>
      </c>
      <c r="I57" s="394">
        <f>+VLOOKUP(E57,'Line items'!$B$3:$D$115,3,FALSE)</f>
        <v>5000</v>
      </c>
      <c r="J57" s="394">
        <f t="shared" ref="J57:J66" si="7">+I57*G57</f>
        <v>10000</v>
      </c>
      <c r="K57" s="1219">
        <f>+SUM(J57:J59)</f>
        <v>12000</v>
      </c>
      <c r="L57" s="1225">
        <f>+SUM(K57:K62)</f>
        <v>34000</v>
      </c>
      <c r="N57" s="95"/>
    </row>
    <row r="58" spans="1:16" s="30" customFormat="1" ht="13" outlineLevel="1">
      <c r="A58" s="109"/>
      <c r="B58" s="1164"/>
      <c r="C58" s="1160"/>
      <c r="D58" s="1249"/>
      <c r="E58" s="370" t="s">
        <v>667</v>
      </c>
      <c r="F58" s="466"/>
      <c r="G58" s="371">
        <v>2</v>
      </c>
      <c r="H58" s="371" t="s">
        <v>364</v>
      </c>
      <c r="I58" s="372">
        <f>+VLOOKUP(E58,'Line items'!$B$3:$D$115,3,FALSE)</f>
        <v>1000</v>
      </c>
      <c r="J58" s="372">
        <f t="shared" si="7"/>
        <v>2000</v>
      </c>
      <c r="K58" s="1220"/>
      <c r="L58" s="1226"/>
      <c r="N58" s="95"/>
    </row>
    <row r="59" spans="1:16" s="30" customFormat="1" ht="13" outlineLevel="1">
      <c r="A59" s="109"/>
      <c r="B59" s="1164"/>
      <c r="C59" s="1160"/>
      <c r="D59" s="1249"/>
      <c r="E59" s="370" t="s">
        <v>312</v>
      </c>
      <c r="F59" s="466"/>
      <c r="G59" s="371"/>
      <c r="H59" s="371"/>
      <c r="I59" s="372"/>
      <c r="J59" s="372"/>
      <c r="K59" s="1220"/>
      <c r="L59" s="1226"/>
      <c r="N59" s="95"/>
    </row>
    <row r="60" spans="1:16" s="30" customFormat="1" ht="13" outlineLevel="1">
      <c r="A60" s="109"/>
      <c r="B60" s="1164"/>
      <c r="C60" s="1160"/>
      <c r="D60" s="1249" t="s">
        <v>403</v>
      </c>
      <c r="E60" s="370" t="s">
        <v>313</v>
      </c>
      <c r="F60" s="466" t="s">
        <v>746</v>
      </c>
      <c r="G60" s="371">
        <v>60</v>
      </c>
      <c r="H60" s="371" t="s">
        <v>360</v>
      </c>
      <c r="I60" s="372">
        <f>+VLOOKUP(E60,'Line items'!$B$3:$D$115,3,FALSE)</f>
        <v>200</v>
      </c>
      <c r="J60" s="372">
        <f t="shared" si="7"/>
        <v>12000</v>
      </c>
      <c r="K60" s="1193">
        <f>+SUM(J60:J61)</f>
        <v>22000</v>
      </c>
      <c r="L60" s="1226"/>
      <c r="N60" s="95"/>
    </row>
    <row r="61" spans="1:16" s="30" customFormat="1" ht="13" outlineLevel="1">
      <c r="A61" s="109"/>
      <c r="B61" s="1164"/>
      <c r="C61" s="1160"/>
      <c r="D61" s="1249"/>
      <c r="E61" s="370" t="s">
        <v>490</v>
      </c>
      <c r="F61" s="466"/>
      <c r="G61" s="371">
        <v>2</v>
      </c>
      <c r="H61" s="371" t="s">
        <v>364</v>
      </c>
      <c r="I61" s="372">
        <f>+VLOOKUP(E61,'Line items'!$B$3:$D$115,3,FALSE)</f>
        <v>5000</v>
      </c>
      <c r="J61" s="372">
        <f t="shared" si="7"/>
        <v>10000</v>
      </c>
      <c r="K61" s="1160"/>
      <c r="L61" s="1226"/>
      <c r="N61" s="95"/>
    </row>
    <row r="62" spans="1:16" s="30" customFormat="1" outlineLevel="1" thickBot="1">
      <c r="A62" s="109"/>
      <c r="B62" s="1165"/>
      <c r="C62" s="1166"/>
      <c r="D62" s="395" t="s">
        <v>404</v>
      </c>
      <c r="E62" s="439"/>
      <c r="F62" s="477"/>
      <c r="G62" s="440"/>
      <c r="H62" s="440"/>
      <c r="I62" s="408"/>
      <c r="J62" s="408"/>
      <c r="K62" s="550">
        <f>+J62</f>
        <v>0</v>
      </c>
      <c r="L62" s="1227"/>
      <c r="N62" s="95"/>
    </row>
    <row r="63" spans="1:16" s="30" customFormat="1" thickBot="1">
      <c r="A63" s="109"/>
      <c r="B63" s="442">
        <v>1.6</v>
      </c>
      <c r="C63" s="1167" t="s">
        <v>18</v>
      </c>
      <c r="D63" s="1167"/>
      <c r="E63" s="1167"/>
      <c r="F63" s="464"/>
      <c r="G63" s="444"/>
      <c r="H63" s="444"/>
      <c r="I63" s="444"/>
      <c r="J63" s="444"/>
      <c r="K63" s="445"/>
      <c r="L63" s="446"/>
      <c r="N63" s="95"/>
    </row>
    <row r="64" spans="1:16" s="30" customFormat="1" ht="13" outlineLevel="1">
      <c r="A64" s="109"/>
      <c r="B64" s="1162" t="s">
        <v>527</v>
      </c>
      <c r="C64" s="1163"/>
      <c r="D64" s="400" t="s">
        <v>405</v>
      </c>
      <c r="E64" s="392" t="s">
        <v>729</v>
      </c>
      <c r="F64" s="469"/>
      <c r="G64" s="402">
        <v>2</v>
      </c>
      <c r="H64" s="402" t="s">
        <v>364</v>
      </c>
      <c r="I64" s="394">
        <f>+VLOOKUP(E64,'Line items'!$B$3:$D$115,3,FALSE)</f>
        <v>800</v>
      </c>
      <c r="J64" s="394">
        <f t="shared" si="7"/>
        <v>1600</v>
      </c>
      <c r="K64" s="552">
        <f>+J64</f>
        <v>1600</v>
      </c>
      <c r="L64" s="1225">
        <f>+SUM(K64:K66)</f>
        <v>26600</v>
      </c>
      <c r="N64" s="95"/>
    </row>
    <row r="65" spans="1:14" s="30" customFormat="1" ht="13" outlineLevel="1">
      <c r="A65" s="109"/>
      <c r="B65" s="1164"/>
      <c r="C65" s="1160"/>
      <c r="D65" s="373" t="s">
        <v>406</v>
      </c>
      <c r="E65" s="374" t="s">
        <v>338</v>
      </c>
      <c r="F65" s="467"/>
      <c r="G65" s="375">
        <v>1</v>
      </c>
      <c r="H65" s="375" t="s">
        <v>364</v>
      </c>
      <c r="I65" s="372">
        <f>+VLOOKUP(E65,'Line items'!$B$3:$D$115,3,FALSE)</f>
        <v>10000</v>
      </c>
      <c r="J65" s="372">
        <f t="shared" si="7"/>
        <v>10000</v>
      </c>
      <c r="K65" s="533">
        <f>+J65</f>
        <v>10000</v>
      </c>
      <c r="L65" s="1226"/>
      <c r="N65" s="95"/>
    </row>
    <row r="66" spans="1:14" s="30" customFormat="1" outlineLevel="1" thickBot="1">
      <c r="A66" s="109"/>
      <c r="B66" s="1165"/>
      <c r="C66" s="1166"/>
      <c r="D66" s="395" t="s">
        <v>407</v>
      </c>
      <c r="E66" s="396" t="s">
        <v>339</v>
      </c>
      <c r="F66" s="468"/>
      <c r="G66" s="397">
        <v>1</v>
      </c>
      <c r="H66" s="397" t="s">
        <v>364</v>
      </c>
      <c r="I66" s="408">
        <f>+VLOOKUP(E66,'Line items'!$B$3:$D$115,3,FALSE)</f>
        <v>15000</v>
      </c>
      <c r="J66" s="408">
        <f t="shared" si="7"/>
        <v>15000</v>
      </c>
      <c r="K66" s="550">
        <f>+J66</f>
        <v>15000</v>
      </c>
      <c r="L66" s="1227"/>
      <c r="N66" s="95"/>
    </row>
    <row r="67" spans="1:14" s="30" customFormat="1" thickBot="1">
      <c r="A67" s="109"/>
      <c r="B67" s="442">
        <v>1.7</v>
      </c>
      <c r="C67" s="1167" t="s">
        <v>33</v>
      </c>
      <c r="D67" s="1167"/>
      <c r="E67" s="1167"/>
      <c r="F67" s="464"/>
      <c r="G67" s="444"/>
      <c r="H67" s="444"/>
      <c r="I67" s="444"/>
      <c r="J67" s="444"/>
      <c r="K67" s="445"/>
      <c r="L67" s="446"/>
      <c r="N67" s="95"/>
    </row>
    <row r="68" spans="1:14" s="30" customFormat="1" ht="13" outlineLevel="1">
      <c r="A68" s="109"/>
      <c r="B68" s="1162" t="s">
        <v>528</v>
      </c>
      <c r="C68" s="1163"/>
      <c r="D68" s="400" t="s">
        <v>408</v>
      </c>
      <c r="E68" s="401" t="s">
        <v>88</v>
      </c>
      <c r="F68" s="469"/>
      <c r="G68" s="402"/>
      <c r="H68" s="402"/>
      <c r="I68" s="403"/>
      <c r="J68" s="403"/>
      <c r="K68" s="549"/>
      <c r="L68" s="1225">
        <f>+K70</f>
        <v>35000</v>
      </c>
      <c r="N68" s="95"/>
    </row>
    <row r="69" spans="1:14" s="30" customFormat="1" ht="13" outlineLevel="1">
      <c r="A69" s="109"/>
      <c r="B69" s="1164"/>
      <c r="C69" s="1160"/>
      <c r="D69" s="373" t="s">
        <v>409</v>
      </c>
      <c r="E69" s="374" t="s">
        <v>88</v>
      </c>
      <c r="F69" s="467"/>
      <c r="G69" s="375"/>
      <c r="H69" s="375"/>
      <c r="I69" s="376"/>
      <c r="J69" s="376"/>
      <c r="K69" s="532"/>
      <c r="L69" s="1226"/>
      <c r="N69" s="95"/>
    </row>
    <row r="70" spans="1:14" s="30" customFormat="1" ht="13" outlineLevel="1">
      <c r="A70" s="109"/>
      <c r="B70" s="1164"/>
      <c r="C70" s="1160"/>
      <c r="D70" s="1249" t="s">
        <v>410</v>
      </c>
      <c r="E70" s="374" t="s">
        <v>350</v>
      </c>
      <c r="F70" s="478">
        <f>2*4000</f>
        <v>8000</v>
      </c>
      <c r="G70" s="375"/>
      <c r="H70" s="375"/>
      <c r="I70" s="376"/>
      <c r="J70" s="376">
        <f t="shared" ref="J70:J74" si="8">+I70*G70</f>
        <v>0</v>
      </c>
      <c r="K70" s="1218">
        <f>+SUM(J71:J74)</f>
        <v>35000</v>
      </c>
      <c r="L70" s="1226"/>
      <c r="N70" s="95"/>
    </row>
    <row r="71" spans="1:14" s="30" customFormat="1" ht="13" outlineLevel="1">
      <c r="A71" s="109"/>
      <c r="B71" s="1164"/>
      <c r="C71" s="1160"/>
      <c r="D71" s="1249"/>
      <c r="E71" s="456" t="s">
        <v>687</v>
      </c>
      <c r="F71" s="467" t="s">
        <v>497</v>
      </c>
      <c r="G71" s="375">
        <v>1</v>
      </c>
      <c r="H71" s="375" t="s">
        <v>364</v>
      </c>
      <c r="I71" s="372">
        <f>+VLOOKUP(E71,'Line items'!$B$3:$D$115,3,FALSE)</f>
        <v>35000</v>
      </c>
      <c r="J71" s="376">
        <f t="shared" si="8"/>
        <v>35000</v>
      </c>
      <c r="K71" s="1218"/>
      <c r="L71" s="1226"/>
      <c r="N71" s="95"/>
    </row>
    <row r="72" spans="1:14" s="30" customFormat="1" ht="13" outlineLevel="1">
      <c r="A72" s="109"/>
      <c r="B72" s="1164"/>
      <c r="C72" s="1160"/>
      <c r="D72" s="1249"/>
      <c r="E72" s="456" t="s">
        <v>688</v>
      </c>
      <c r="F72" s="467"/>
      <c r="G72" s="375"/>
      <c r="H72" s="375" t="s">
        <v>364</v>
      </c>
      <c r="I72" s="372">
        <f>+VLOOKUP(E72,'Line items'!$B$3:$D$115,3,FALSE)</f>
        <v>31630</v>
      </c>
      <c r="J72" s="376">
        <f t="shared" si="8"/>
        <v>0</v>
      </c>
      <c r="K72" s="1218"/>
      <c r="L72" s="1226"/>
      <c r="N72" s="95"/>
    </row>
    <row r="73" spans="1:14" s="30" customFormat="1" ht="13" outlineLevel="1">
      <c r="A73" s="109"/>
      <c r="B73" s="1164"/>
      <c r="C73" s="1160"/>
      <c r="D73" s="1249"/>
      <c r="E73" s="374" t="s">
        <v>689</v>
      </c>
      <c r="F73" s="467"/>
      <c r="G73" s="375"/>
      <c r="H73" s="375" t="s">
        <v>364</v>
      </c>
      <c r="I73" s="372">
        <f>+VLOOKUP(E73,'Line items'!$B$3:$D$115,3,FALSE)</f>
        <v>87880</v>
      </c>
      <c r="J73" s="376">
        <f t="shared" si="8"/>
        <v>0</v>
      </c>
      <c r="K73" s="1218"/>
      <c r="L73" s="1226"/>
      <c r="N73" s="95"/>
    </row>
    <row r="74" spans="1:14" s="30" customFormat="1" outlineLevel="1" thickBot="1">
      <c r="A74" s="109"/>
      <c r="B74" s="1165"/>
      <c r="C74" s="1166"/>
      <c r="D74" s="1250"/>
      <c r="E74" s="396" t="s">
        <v>690</v>
      </c>
      <c r="F74" s="468"/>
      <c r="G74" s="397"/>
      <c r="H74" s="397" t="s">
        <v>364</v>
      </c>
      <c r="I74" s="408">
        <f>+VLOOKUP(E74,'Line items'!$B$3:$D$115,3,FALSE)</f>
        <v>87880</v>
      </c>
      <c r="J74" s="398">
        <f t="shared" si="8"/>
        <v>0</v>
      </c>
      <c r="K74" s="1223"/>
      <c r="L74" s="1227"/>
      <c r="N74" s="95"/>
    </row>
    <row r="75" spans="1:14" s="30" customFormat="1" ht="13" outlineLevel="1">
      <c r="A75" s="109"/>
      <c r="B75" s="1162" t="s">
        <v>529</v>
      </c>
      <c r="C75" s="1163"/>
      <c r="D75" s="400" t="s">
        <v>411</v>
      </c>
      <c r="E75" s="401" t="s">
        <v>88</v>
      </c>
      <c r="F75" s="469"/>
      <c r="G75" s="402"/>
      <c r="H75" s="402"/>
      <c r="I75" s="403"/>
      <c r="J75" s="403"/>
      <c r="K75" s="549"/>
      <c r="L75" s="1225">
        <f>+K77</f>
        <v>35000</v>
      </c>
      <c r="N75" s="95"/>
    </row>
    <row r="76" spans="1:14" s="30" customFormat="1" ht="13" outlineLevel="1">
      <c r="A76" s="109"/>
      <c r="B76" s="1164"/>
      <c r="C76" s="1160"/>
      <c r="D76" s="373" t="s">
        <v>412</v>
      </c>
      <c r="E76" s="374" t="s">
        <v>88</v>
      </c>
      <c r="F76" s="467"/>
      <c r="G76" s="375"/>
      <c r="H76" s="375"/>
      <c r="I76" s="376"/>
      <c r="J76" s="376"/>
      <c r="K76" s="532"/>
      <c r="L76" s="1226"/>
      <c r="N76" s="95"/>
    </row>
    <row r="77" spans="1:14" s="30" customFormat="1" ht="13" outlineLevel="1">
      <c r="A77" s="109"/>
      <c r="B77" s="1164"/>
      <c r="C77" s="1160"/>
      <c r="D77" s="1249" t="s">
        <v>413</v>
      </c>
      <c r="E77" s="374" t="s">
        <v>350</v>
      </c>
      <c r="F77" s="478">
        <f>2*4000</f>
        <v>8000</v>
      </c>
      <c r="G77" s="375"/>
      <c r="H77" s="375"/>
      <c r="I77" s="376"/>
      <c r="J77" s="376">
        <f t="shared" ref="J77:J81" si="9">+I77*G77</f>
        <v>0</v>
      </c>
      <c r="K77" s="1218">
        <f>+SUM(J78:J81)</f>
        <v>35000</v>
      </c>
      <c r="L77" s="1226"/>
      <c r="N77" s="95"/>
    </row>
    <row r="78" spans="1:14" s="30" customFormat="1" ht="13" outlineLevel="1">
      <c r="A78" s="109"/>
      <c r="B78" s="1164"/>
      <c r="C78" s="1160"/>
      <c r="D78" s="1249"/>
      <c r="E78" s="456" t="s">
        <v>687</v>
      </c>
      <c r="F78" s="467" t="s">
        <v>497</v>
      </c>
      <c r="G78" s="375">
        <v>1</v>
      </c>
      <c r="H78" s="375" t="s">
        <v>364</v>
      </c>
      <c r="I78" s="372">
        <f>+VLOOKUP(E78,'Line items'!$B$3:$D$115,3,FALSE)</f>
        <v>35000</v>
      </c>
      <c r="J78" s="376">
        <f t="shared" si="9"/>
        <v>35000</v>
      </c>
      <c r="K78" s="1218"/>
      <c r="L78" s="1226"/>
      <c r="N78" s="95"/>
    </row>
    <row r="79" spans="1:14" s="30" customFormat="1" ht="13" outlineLevel="1">
      <c r="A79" s="109"/>
      <c r="B79" s="1164"/>
      <c r="C79" s="1160"/>
      <c r="D79" s="1249"/>
      <c r="E79" s="456" t="s">
        <v>688</v>
      </c>
      <c r="F79" s="467"/>
      <c r="G79" s="375"/>
      <c r="H79" s="375" t="s">
        <v>364</v>
      </c>
      <c r="I79" s="372">
        <f>+VLOOKUP(E79,'Line items'!$B$3:$D$115,3,FALSE)</f>
        <v>31630</v>
      </c>
      <c r="J79" s="376">
        <f t="shared" si="9"/>
        <v>0</v>
      </c>
      <c r="K79" s="1218"/>
      <c r="L79" s="1226"/>
      <c r="N79" s="95"/>
    </row>
    <row r="80" spans="1:14" s="30" customFormat="1" ht="13" outlineLevel="1">
      <c r="A80" s="109"/>
      <c r="B80" s="1164"/>
      <c r="C80" s="1160"/>
      <c r="D80" s="1249"/>
      <c r="E80" s="374" t="s">
        <v>689</v>
      </c>
      <c r="F80" s="467"/>
      <c r="G80" s="375"/>
      <c r="H80" s="375" t="s">
        <v>364</v>
      </c>
      <c r="I80" s="372">
        <f>+VLOOKUP(E80,'Line items'!$B$3:$D$115,3,FALSE)</f>
        <v>87880</v>
      </c>
      <c r="J80" s="376">
        <f t="shared" si="9"/>
        <v>0</v>
      </c>
      <c r="K80" s="1218"/>
      <c r="L80" s="1226"/>
      <c r="N80" s="95"/>
    </row>
    <row r="81" spans="1:14" s="30" customFormat="1" outlineLevel="1" thickBot="1">
      <c r="A81" s="109"/>
      <c r="B81" s="1165"/>
      <c r="C81" s="1166"/>
      <c r="D81" s="1250"/>
      <c r="E81" s="396" t="s">
        <v>690</v>
      </c>
      <c r="F81" s="468"/>
      <c r="G81" s="397"/>
      <c r="H81" s="397" t="s">
        <v>364</v>
      </c>
      <c r="I81" s="408">
        <f>+VLOOKUP(E81,'Line items'!$B$3:$D$115,3,FALSE)</f>
        <v>87880</v>
      </c>
      <c r="J81" s="398">
        <f t="shared" si="9"/>
        <v>0</v>
      </c>
      <c r="K81" s="1223"/>
      <c r="L81" s="1227"/>
      <c r="N81" s="95"/>
    </row>
    <row r="82" spans="1:14" s="30" customFormat="1" ht="13" outlineLevel="1">
      <c r="A82" s="109"/>
      <c r="B82" s="1162" t="s">
        <v>530</v>
      </c>
      <c r="C82" s="1163"/>
      <c r="D82" s="400" t="s">
        <v>414</v>
      </c>
      <c r="E82" s="401" t="s">
        <v>88</v>
      </c>
      <c r="F82" s="469"/>
      <c r="G82" s="402"/>
      <c r="H82" s="402"/>
      <c r="I82" s="403"/>
      <c r="J82" s="403"/>
      <c r="K82" s="549"/>
      <c r="L82" s="1225">
        <f>+K84</f>
        <v>35000</v>
      </c>
      <c r="N82" s="95"/>
    </row>
    <row r="83" spans="1:14" s="30" customFormat="1" ht="13" outlineLevel="1">
      <c r="A83" s="109"/>
      <c r="B83" s="1164"/>
      <c r="C83" s="1160"/>
      <c r="D83" s="373" t="s">
        <v>415</v>
      </c>
      <c r="E83" s="374" t="s">
        <v>88</v>
      </c>
      <c r="F83" s="467"/>
      <c r="G83" s="375"/>
      <c r="H83" s="375"/>
      <c r="I83" s="376"/>
      <c r="J83" s="376"/>
      <c r="K83" s="532"/>
      <c r="L83" s="1226"/>
      <c r="N83" s="95"/>
    </row>
    <row r="84" spans="1:14" s="30" customFormat="1" ht="13" outlineLevel="1">
      <c r="A84" s="109"/>
      <c r="B84" s="1164"/>
      <c r="C84" s="1160"/>
      <c r="D84" s="1249" t="s">
        <v>416</v>
      </c>
      <c r="E84" s="374" t="s">
        <v>350</v>
      </c>
      <c r="F84" s="478">
        <f>2*4000</f>
        <v>8000</v>
      </c>
      <c r="G84" s="375"/>
      <c r="H84" s="375"/>
      <c r="I84" s="376"/>
      <c r="J84" s="376">
        <f t="shared" ref="J84:J88" si="10">+I84*G84</f>
        <v>0</v>
      </c>
      <c r="K84" s="1218">
        <f>+SUM(J85:J88)</f>
        <v>35000</v>
      </c>
      <c r="L84" s="1226"/>
      <c r="N84" s="95"/>
    </row>
    <row r="85" spans="1:14" s="30" customFormat="1" ht="13" outlineLevel="1">
      <c r="A85" s="109"/>
      <c r="B85" s="1164"/>
      <c r="C85" s="1160"/>
      <c r="D85" s="1249"/>
      <c r="E85" s="456" t="s">
        <v>687</v>
      </c>
      <c r="F85" s="467" t="s">
        <v>497</v>
      </c>
      <c r="G85" s="375">
        <v>1</v>
      </c>
      <c r="H85" s="375" t="s">
        <v>364</v>
      </c>
      <c r="I85" s="372">
        <f>+VLOOKUP(E85,'Line items'!$B$3:$D$115,3,FALSE)</f>
        <v>35000</v>
      </c>
      <c r="J85" s="376">
        <f t="shared" si="10"/>
        <v>35000</v>
      </c>
      <c r="K85" s="1218"/>
      <c r="L85" s="1226"/>
      <c r="N85" s="95"/>
    </row>
    <row r="86" spans="1:14" s="30" customFormat="1" ht="13" outlineLevel="1">
      <c r="A86" s="109"/>
      <c r="B86" s="1164"/>
      <c r="C86" s="1160"/>
      <c r="D86" s="1249"/>
      <c r="E86" s="456" t="s">
        <v>688</v>
      </c>
      <c r="F86" s="467"/>
      <c r="G86" s="375"/>
      <c r="H86" s="375" t="s">
        <v>364</v>
      </c>
      <c r="I86" s="372">
        <f>+VLOOKUP(E86,'Line items'!$B$3:$D$115,3,FALSE)</f>
        <v>31630</v>
      </c>
      <c r="J86" s="376">
        <f t="shared" si="10"/>
        <v>0</v>
      </c>
      <c r="K86" s="1218"/>
      <c r="L86" s="1226"/>
      <c r="N86" s="95"/>
    </row>
    <row r="87" spans="1:14" s="30" customFormat="1" ht="13" outlineLevel="1">
      <c r="A87" s="109"/>
      <c r="B87" s="1164"/>
      <c r="C87" s="1160"/>
      <c r="D87" s="1249"/>
      <c r="E87" s="374" t="s">
        <v>689</v>
      </c>
      <c r="F87" s="467"/>
      <c r="G87" s="375"/>
      <c r="H87" s="375" t="s">
        <v>364</v>
      </c>
      <c r="I87" s="372">
        <f>+VLOOKUP(E87,'Line items'!$B$3:$D$115,3,FALSE)</f>
        <v>87880</v>
      </c>
      <c r="J87" s="376">
        <f t="shared" si="10"/>
        <v>0</v>
      </c>
      <c r="K87" s="1218"/>
      <c r="L87" s="1226"/>
      <c r="N87" s="95"/>
    </row>
    <row r="88" spans="1:14" s="30" customFormat="1" outlineLevel="1" thickBot="1">
      <c r="A88" s="109"/>
      <c r="B88" s="1165"/>
      <c r="C88" s="1166"/>
      <c r="D88" s="1250"/>
      <c r="E88" s="396" t="s">
        <v>690</v>
      </c>
      <c r="F88" s="468"/>
      <c r="G88" s="397"/>
      <c r="H88" s="397" t="s">
        <v>364</v>
      </c>
      <c r="I88" s="408">
        <f>+VLOOKUP(E88,'Line items'!$B$3:$D$115,3,FALSE)</f>
        <v>87880</v>
      </c>
      <c r="J88" s="398">
        <f t="shared" si="10"/>
        <v>0</v>
      </c>
      <c r="K88" s="1223"/>
      <c r="L88" s="1227"/>
      <c r="N88" s="95"/>
    </row>
    <row r="89" spans="1:14" s="30" customFormat="1" ht="13" outlineLevel="1">
      <c r="A89" s="109"/>
      <c r="B89" s="1162" t="s">
        <v>531</v>
      </c>
      <c r="C89" s="1163"/>
      <c r="D89" s="400" t="s">
        <v>417</v>
      </c>
      <c r="E89" s="401" t="s">
        <v>88</v>
      </c>
      <c r="F89" s="469"/>
      <c r="G89" s="402"/>
      <c r="H89" s="402"/>
      <c r="I89" s="403"/>
      <c r="J89" s="403"/>
      <c r="K89" s="549"/>
      <c r="L89" s="1225">
        <f>+K91</f>
        <v>35000</v>
      </c>
      <c r="N89" s="95"/>
    </row>
    <row r="90" spans="1:14" s="30" customFormat="1" ht="13" outlineLevel="1">
      <c r="A90" s="109"/>
      <c r="B90" s="1164"/>
      <c r="C90" s="1160"/>
      <c r="D90" s="373" t="s">
        <v>418</v>
      </c>
      <c r="E90" s="374" t="s">
        <v>88</v>
      </c>
      <c r="F90" s="467"/>
      <c r="G90" s="375"/>
      <c r="H90" s="375"/>
      <c r="I90" s="376"/>
      <c r="J90" s="376"/>
      <c r="K90" s="532"/>
      <c r="L90" s="1226"/>
      <c r="N90" s="95"/>
    </row>
    <row r="91" spans="1:14" s="30" customFormat="1" ht="13" outlineLevel="1">
      <c r="A91" s="109"/>
      <c r="B91" s="1164"/>
      <c r="C91" s="1160"/>
      <c r="D91" s="1249" t="s">
        <v>419</v>
      </c>
      <c r="E91" s="374" t="s">
        <v>350</v>
      </c>
      <c r="F91" s="478">
        <f>2*4000</f>
        <v>8000</v>
      </c>
      <c r="G91" s="375"/>
      <c r="H91" s="375"/>
      <c r="I91" s="376"/>
      <c r="J91" s="376">
        <f t="shared" ref="J91:J95" si="11">+I91*G91</f>
        <v>0</v>
      </c>
      <c r="K91" s="1218">
        <f>+SUM(J92:J95)</f>
        <v>35000</v>
      </c>
      <c r="L91" s="1226"/>
      <c r="N91" s="95"/>
    </row>
    <row r="92" spans="1:14" s="30" customFormat="1" ht="13" outlineLevel="1">
      <c r="A92" s="109"/>
      <c r="B92" s="1164"/>
      <c r="C92" s="1160"/>
      <c r="D92" s="1249"/>
      <c r="E92" s="456" t="s">
        <v>687</v>
      </c>
      <c r="F92" s="467" t="s">
        <v>497</v>
      </c>
      <c r="G92" s="375">
        <v>1</v>
      </c>
      <c r="H92" s="375" t="s">
        <v>364</v>
      </c>
      <c r="I92" s="372">
        <f>+VLOOKUP(E92,'Line items'!$B$3:$D$115,3,FALSE)</f>
        <v>35000</v>
      </c>
      <c r="J92" s="376">
        <f t="shared" si="11"/>
        <v>35000</v>
      </c>
      <c r="K92" s="1218"/>
      <c r="L92" s="1226"/>
      <c r="N92" s="95"/>
    </row>
    <row r="93" spans="1:14" s="30" customFormat="1" ht="13" outlineLevel="1">
      <c r="A93" s="109"/>
      <c r="B93" s="1164"/>
      <c r="C93" s="1160"/>
      <c r="D93" s="1249"/>
      <c r="E93" s="456" t="s">
        <v>688</v>
      </c>
      <c r="F93" s="467"/>
      <c r="G93" s="375"/>
      <c r="H93" s="375" t="s">
        <v>364</v>
      </c>
      <c r="I93" s="372">
        <f>+VLOOKUP(E93,'Line items'!$B$3:$D$115,3,FALSE)</f>
        <v>31630</v>
      </c>
      <c r="J93" s="376">
        <f t="shared" si="11"/>
        <v>0</v>
      </c>
      <c r="K93" s="1218"/>
      <c r="L93" s="1226"/>
      <c r="N93" s="95"/>
    </row>
    <row r="94" spans="1:14" s="30" customFormat="1" ht="13" outlineLevel="1">
      <c r="A94" s="109"/>
      <c r="B94" s="1164"/>
      <c r="C94" s="1160"/>
      <c r="D94" s="1249"/>
      <c r="E94" s="374" t="s">
        <v>689</v>
      </c>
      <c r="F94" s="467"/>
      <c r="G94" s="375"/>
      <c r="H94" s="375" t="s">
        <v>364</v>
      </c>
      <c r="I94" s="372">
        <f>+VLOOKUP(E94,'Line items'!$B$3:$D$115,3,FALSE)</f>
        <v>87880</v>
      </c>
      <c r="J94" s="376">
        <f t="shared" si="11"/>
        <v>0</v>
      </c>
      <c r="K94" s="1218"/>
      <c r="L94" s="1226"/>
      <c r="N94" s="95"/>
    </row>
    <row r="95" spans="1:14" s="30" customFormat="1" outlineLevel="1" thickBot="1">
      <c r="A95" s="109"/>
      <c r="B95" s="1165"/>
      <c r="C95" s="1166"/>
      <c r="D95" s="1250"/>
      <c r="E95" s="396" t="s">
        <v>690</v>
      </c>
      <c r="F95" s="468"/>
      <c r="G95" s="397"/>
      <c r="H95" s="397" t="s">
        <v>364</v>
      </c>
      <c r="I95" s="408">
        <f>+VLOOKUP(E95,'Line items'!$B$3:$D$115,3,FALSE)</f>
        <v>87880</v>
      </c>
      <c r="J95" s="398">
        <f t="shared" si="11"/>
        <v>0</v>
      </c>
      <c r="K95" s="1223"/>
      <c r="L95" s="1227"/>
      <c r="N95" s="95"/>
    </row>
    <row r="96" spans="1:14" s="30" customFormat="1" thickBot="1">
      <c r="A96" s="109"/>
      <c r="B96" s="442">
        <v>1.8</v>
      </c>
      <c r="C96" s="1167" t="s">
        <v>22</v>
      </c>
      <c r="D96" s="1167"/>
      <c r="E96" s="1167"/>
      <c r="F96" s="464"/>
      <c r="G96" s="444"/>
      <c r="H96" s="444"/>
      <c r="I96" s="444"/>
      <c r="J96" s="444"/>
      <c r="K96" s="445"/>
      <c r="L96" s="446"/>
      <c r="N96" s="95"/>
    </row>
    <row r="97" spans="1:14" s="30" customFormat="1" ht="13" outlineLevel="1">
      <c r="A97" s="109"/>
      <c r="B97" s="1170" t="s">
        <v>532</v>
      </c>
      <c r="C97" s="1171"/>
      <c r="D97" s="386" t="s">
        <v>420</v>
      </c>
      <c r="E97" s="387" t="s">
        <v>664</v>
      </c>
      <c r="F97" s="489"/>
      <c r="G97" s="388">
        <v>3</v>
      </c>
      <c r="H97" s="589" t="s">
        <v>364</v>
      </c>
      <c r="I97" s="391">
        <f>+VLOOKUP(E97,'Line items'!$B$3:$D$115,3,FALSE)</f>
        <v>1000</v>
      </c>
      <c r="J97" s="389">
        <f>+I97*G97</f>
        <v>3000</v>
      </c>
      <c r="K97" s="544">
        <f>+J97</f>
        <v>3000</v>
      </c>
      <c r="L97" s="1253">
        <f>+SUM(K97:K99)</f>
        <v>3000</v>
      </c>
      <c r="N97" s="95"/>
    </row>
    <row r="98" spans="1:14" s="30" customFormat="1" ht="13" outlineLevel="1">
      <c r="A98" s="109"/>
      <c r="B98" s="1164"/>
      <c r="C98" s="1160"/>
      <c r="D98" s="373" t="s">
        <v>421</v>
      </c>
      <c r="E98" s="374" t="s">
        <v>88</v>
      </c>
      <c r="F98" s="467"/>
      <c r="G98" s="375"/>
      <c r="H98" s="375"/>
      <c r="I98" s="376"/>
      <c r="J98" s="376"/>
      <c r="K98" s="534"/>
      <c r="L98" s="1226"/>
      <c r="N98" s="95"/>
    </row>
    <row r="99" spans="1:14" s="30" customFormat="1" outlineLevel="1" thickBot="1">
      <c r="A99" s="109"/>
      <c r="B99" s="1165"/>
      <c r="C99" s="1166"/>
      <c r="D99" s="395" t="s">
        <v>422</v>
      </c>
      <c r="E99" s="396" t="s">
        <v>88</v>
      </c>
      <c r="F99" s="468"/>
      <c r="G99" s="397"/>
      <c r="H99" s="397"/>
      <c r="I99" s="398"/>
      <c r="J99" s="398"/>
      <c r="K99" s="551"/>
      <c r="L99" s="1227"/>
      <c r="N99" s="95"/>
    </row>
    <row r="100" spans="1:14" s="30" customFormat="1" ht="13" outlineLevel="1">
      <c r="A100" s="109"/>
      <c r="B100" s="1162" t="s">
        <v>533</v>
      </c>
      <c r="C100" s="1163"/>
      <c r="D100" s="1248" t="s">
        <v>423</v>
      </c>
      <c r="E100" s="401" t="s">
        <v>315</v>
      </c>
      <c r="F100" s="469"/>
      <c r="G100" s="402">
        <v>1</v>
      </c>
      <c r="H100" s="402" t="s">
        <v>364</v>
      </c>
      <c r="I100" s="403">
        <f>+VLOOKUP(E100,'Line items'!$B$3:$D$115,3,FALSE)</f>
        <v>5000</v>
      </c>
      <c r="J100" s="403">
        <f t="shared" ref="J100:J101" si="12">+I100*G100</f>
        <v>5000</v>
      </c>
      <c r="K100" s="1186">
        <f>+SUM(J100:J101)</f>
        <v>65000</v>
      </c>
      <c r="L100" s="1225">
        <f>+SUM(K100:K103)</f>
        <v>65000</v>
      </c>
      <c r="N100" s="95"/>
    </row>
    <row r="101" spans="1:14" s="30" customFormat="1" ht="13" outlineLevel="1">
      <c r="A101" s="109"/>
      <c r="B101" s="1164"/>
      <c r="C101" s="1160"/>
      <c r="D101" s="1249"/>
      <c r="E101" s="374" t="s">
        <v>700</v>
      </c>
      <c r="F101" s="467"/>
      <c r="G101" s="375">
        <v>300</v>
      </c>
      <c r="H101" s="375" t="s">
        <v>360</v>
      </c>
      <c r="I101" s="376">
        <f>+VLOOKUP(E101,'Line items'!$B$3:$D$115,3,FALSE)</f>
        <v>200</v>
      </c>
      <c r="J101" s="376">
        <f t="shared" si="12"/>
        <v>60000</v>
      </c>
      <c r="K101" s="1180"/>
      <c r="L101" s="1226"/>
      <c r="N101" s="95"/>
    </row>
    <row r="102" spans="1:14" s="30" customFormat="1" ht="13" outlineLevel="1">
      <c r="A102" s="109"/>
      <c r="B102" s="1164"/>
      <c r="C102" s="1160"/>
      <c r="D102" s="373" t="s">
        <v>424</v>
      </c>
      <c r="E102" s="374" t="s">
        <v>88</v>
      </c>
      <c r="F102" s="467"/>
      <c r="G102" s="375"/>
      <c r="H102" s="375"/>
      <c r="I102" s="376"/>
      <c r="J102" s="376"/>
      <c r="K102" s="534"/>
      <c r="L102" s="1226"/>
      <c r="N102" s="95"/>
    </row>
    <row r="103" spans="1:14" s="30" customFormat="1" outlineLevel="1" thickBot="1">
      <c r="A103" s="109"/>
      <c r="B103" s="1165"/>
      <c r="C103" s="1166"/>
      <c r="D103" s="395" t="s">
        <v>425</v>
      </c>
      <c r="E103" s="396"/>
      <c r="F103" s="468"/>
      <c r="G103" s="397"/>
      <c r="H103" s="397"/>
      <c r="I103" s="398"/>
      <c r="J103" s="398"/>
      <c r="K103" s="548">
        <f>+J103</f>
        <v>0</v>
      </c>
      <c r="L103" s="1227"/>
      <c r="N103" s="95"/>
    </row>
    <row r="104" spans="1:14" s="30" customFormat="1" thickBot="1">
      <c r="A104" s="109"/>
      <c r="B104" s="490">
        <v>2</v>
      </c>
      <c r="C104" s="491" t="s">
        <v>316</v>
      </c>
      <c r="D104" s="492"/>
      <c r="E104" s="493"/>
      <c r="F104" s="494"/>
      <c r="G104" s="495"/>
      <c r="H104" s="495"/>
      <c r="I104" s="496"/>
      <c r="J104" s="496"/>
      <c r="K104" s="560"/>
      <c r="L104" s="561"/>
      <c r="N104" s="95"/>
    </row>
    <row r="105" spans="1:14" s="30" customFormat="1" thickBot="1">
      <c r="A105" s="109"/>
      <c r="B105" s="499">
        <v>2.1</v>
      </c>
      <c r="C105" s="1210" t="s">
        <v>34</v>
      </c>
      <c r="D105" s="1210"/>
      <c r="E105" s="1210"/>
      <c r="F105" s="500"/>
      <c r="G105" s="501"/>
      <c r="H105" s="501"/>
      <c r="I105" s="502"/>
      <c r="J105" s="502"/>
      <c r="K105" s="562"/>
      <c r="L105" s="563"/>
      <c r="N105" s="95"/>
    </row>
    <row r="106" spans="1:14" s="30" customFormat="1" ht="13" outlineLevel="1">
      <c r="A106" s="109"/>
      <c r="B106" s="1162" t="s">
        <v>534</v>
      </c>
      <c r="C106" s="1163"/>
      <c r="D106" s="1248" t="s">
        <v>427</v>
      </c>
      <c r="E106" s="401" t="s">
        <v>341</v>
      </c>
      <c r="F106" s="469"/>
      <c r="G106" s="402"/>
      <c r="H106" s="402"/>
      <c r="I106" s="403"/>
      <c r="J106" s="403"/>
      <c r="K106" s="1217">
        <f>+SUM(J106:J108)</f>
        <v>6850</v>
      </c>
      <c r="L106" s="1225">
        <f>+SUM(K106:K110)</f>
        <v>7850</v>
      </c>
      <c r="N106" s="95"/>
    </row>
    <row r="107" spans="1:14" s="30" customFormat="1" ht="13" outlineLevel="1">
      <c r="A107" s="109"/>
      <c r="B107" s="1164"/>
      <c r="C107" s="1160"/>
      <c r="D107" s="1249"/>
      <c r="E107" s="370" t="s">
        <v>703</v>
      </c>
      <c r="F107" s="467"/>
      <c r="G107" s="375">
        <v>1</v>
      </c>
      <c r="H107" s="375" t="s">
        <v>364</v>
      </c>
      <c r="I107" s="372">
        <f>+VLOOKUP(E107,'Line items'!$B$3:$D$115,3,FALSE)</f>
        <v>1850</v>
      </c>
      <c r="J107" s="376">
        <f t="shared" ref="J107:J108" si="13">+I107*G107</f>
        <v>1850</v>
      </c>
      <c r="K107" s="1218"/>
      <c r="L107" s="1226"/>
      <c r="N107" s="95"/>
    </row>
    <row r="108" spans="1:14" s="30" customFormat="1" ht="13" outlineLevel="1">
      <c r="A108" s="109"/>
      <c r="B108" s="1164"/>
      <c r="C108" s="1160"/>
      <c r="D108" s="1249"/>
      <c r="E108" s="370" t="s">
        <v>704</v>
      </c>
      <c r="F108" s="467"/>
      <c r="G108" s="375">
        <v>1</v>
      </c>
      <c r="H108" s="375" t="s">
        <v>364</v>
      </c>
      <c r="I108" s="372">
        <f>+VLOOKUP(E108,'Line items'!$B$3:$D$115,3,FALSE)</f>
        <v>5000</v>
      </c>
      <c r="J108" s="376">
        <f t="shared" si="13"/>
        <v>5000</v>
      </c>
      <c r="K108" s="1218"/>
      <c r="L108" s="1226"/>
      <c r="N108" s="95"/>
    </row>
    <row r="109" spans="1:14" s="30" customFormat="1" ht="13" outlineLevel="1">
      <c r="A109" s="109"/>
      <c r="B109" s="1164"/>
      <c r="C109" s="1160"/>
      <c r="D109" s="373" t="s">
        <v>428</v>
      </c>
      <c r="E109" s="374" t="s">
        <v>88</v>
      </c>
      <c r="F109" s="467"/>
      <c r="G109" s="375"/>
      <c r="H109" s="375"/>
      <c r="I109" s="376"/>
      <c r="J109" s="376"/>
      <c r="K109" s="534"/>
      <c r="L109" s="1226"/>
      <c r="N109" s="95"/>
    </row>
    <row r="110" spans="1:14" s="30" customFormat="1" outlineLevel="1" thickBot="1">
      <c r="A110" s="109"/>
      <c r="B110" s="1165"/>
      <c r="C110" s="1166"/>
      <c r="D110" s="395" t="s">
        <v>429</v>
      </c>
      <c r="E110" s="396" t="s">
        <v>191</v>
      </c>
      <c r="F110" s="468"/>
      <c r="G110" s="397">
        <v>100</v>
      </c>
      <c r="H110" s="397" t="s">
        <v>360</v>
      </c>
      <c r="I110" s="408">
        <f>+VLOOKUP(E110,'Line items'!$B$3:$D$115,3,FALSE)</f>
        <v>10</v>
      </c>
      <c r="J110" s="398">
        <f t="shared" ref="J110:J113" si="14">+I110*G110</f>
        <v>1000</v>
      </c>
      <c r="K110" s="548">
        <f>+J110</f>
        <v>1000</v>
      </c>
      <c r="L110" s="1227"/>
      <c r="N110" s="95"/>
    </row>
    <row r="111" spans="1:14" s="30" customFormat="1" ht="13" outlineLevel="1">
      <c r="A111" s="109"/>
      <c r="B111" s="1162" t="s">
        <v>535</v>
      </c>
      <c r="C111" s="1163"/>
      <c r="D111" s="1248" t="s">
        <v>430</v>
      </c>
      <c r="E111" s="401" t="s">
        <v>351</v>
      </c>
      <c r="F111" s="469" t="s">
        <v>318</v>
      </c>
      <c r="G111" s="402">
        <v>100</v>
      </c>
      <c r="H111" s="402" t="s">
        <v>360</v>
      </c>
      <c r="I111" s="394">
        <f>+VLOOKUP(E111,'Line items'!$B$3:$D$115,3,FALSE)</f>
        <v>40</v>
      </c>
      <c r="J111" s="403">
        <f t="shared" si="14"/>
        <v>4000</v>
      </c>
      <c r="K111" s="1217">
        <f>+SUM(J111:J113)</f>
        <v>9700</v>
      </c>
      <c r="L111" s="1225">
        <f>+SUM(K111:K115)</f>
        <v>10700</v>
      </c>
      <c r="N111" s="95"/>
    </row>
    <row r="112" spans="1:14" s="30" customFormat="1" ht="13" outlineLevel="1">
      <c r="A112" s="109"/>
      <c r="B112" s="1164"/>
      <c r="C112" s="1160"/>
      <c r="D112" s="1249"/>
      <c r="E112" s="370" t="s">
        <v>704</v>
      </c>
      <c r="F112" s="467"/>
      <c r="G112" s="375">
        <v>1</v>
      </c>
      <c r="H112" s="375" t="s">
        <v>364</v>
      </c>
      <c r="I112" s="372">
        <f>+VLOOKUP(E112,'Line items'!$B$3:$D$115,3,FALSE)</f>
        <v>5000</v>
      </c>
      <c r="J112" s="376">
        <f t="shared" si="14"/>
        <v>5000</v>
      </c>
      <c r="K112" s="1218"/>
      <c r="L112" s="1226"/>
      <c r="N112" s="95"/>
    </row>
    <row r="113" spans="1:14" s="30" customFormat="1" ht="13" outlineLevel="1">
      <c r="A113" s="109"/>
      <c r="B113" s="1164"/>
      <c r="C113" s="1160"/>
      <c r="D113" s="1249"/>
      <c r="E113" s="374" t="s">
        <v>705</v>
      </c>
      <c r="F113" s="467"/>
      <c r="G113" s="375">
        <v>1</v>
      </c>
      <c r="H113" s="592" t="s">
        <v>364</v>
      </c>
      <c r="I113" s="372">
        <f>+VLOOKUP(E113,'Line items'!$B$3:$D$115,3,FALSE)</f>
        <v>700</v>
      </c>
      <c r="J113" s="376">
        <f t="shared" si="14"/>
        <v>700</v>
      </c>
      <c r="K113" s="1218"/>
      <c r="L113" s="1226"/>
      <c r="N113" s="95"/>
    </row>
    <row r="114" spans="1:14" s="30" customFormat="1" ht="13" outlineLevel="1">
      <c r="A114" s="109"/>
      <c r="B114" s="1164"/>
      <c r="C114" s="1160"/>
      <c r="D114" s="373" t="s">
        <v>431</v>
      </c>
      <c r="E114" s="374" t="s">
        <v>88</v>
      </c>
      <c r="F114" s="467"/>
      <c r="G114" s="375"/>
      <c r="H114" s="375"/>
      <c r="I114" s="376"/>
      <c r="J114" s="376"/>
      <c r="K114" s="534"/>
      <c r="L114" s="1226"/>
      <c r="N114" s="95"/>
    </row>
    <row r="115" spans="1:14" s="30" customFormat="1" outlineLevel="1" thickBot="1">
      <c r="A115" s="109"/>
      <c r="B115" s="1165"/>
      <c r="C115" s="1166"/>
      <c r="D115" s="395" t="s">
        <v>432</v>
      </c>
      <c r="E115" s="505" t="s">
        <v>191</v>
      </c>
      <c r="F115" s="468"/>
      <c r="G115" s="397">
        <v>100</v>
      </c>
      <c r="H115" s="397" t="s">
        <v>360</v>
      </c>
      <c r="I115" s="408">
        <f>+VLOOKUP(E115,'Line items'!$B$3:$D$115,3,FALSE)</f>
        <v>10</v>
      </c>
      <c r="J115" s="398">
        <f>+I115*G115</f>
        <v>1000</v>
      </c>
      <c r="K115" s="548">
        <f>+J115</f>
        <v>1000</v>
      </c>
      <c r="L115" s="1227"/>
      <c r="N115" s="95"/>
    </row>
    <row r="116" spans="1:14" s="30" customFormat="1" thickBot="1">
      <c r="A116" s="109"/>
      <c r="B116" s="499">
        <v>2.2000000000000002</v>
      </c>
      <c r="C116" s="1210" t="s">
        <v>37</v>
      </c>
      <c r="D116" s="1210"/>
      <c r="E116" s="1210"/>
      <c r="F116" s="500"/>
      <c r="G116" s="501"/>
      <c r="H116" s="501"/>
      <c r="I116" s="502"/>
      <c r="J116" s="502"/>
      <c r="K116" s="562"/>
      <c r="L116" s="563"/>
      <c r="N116" s="95"/>
    </row>
    <row r="117" spans="1:14" s="30" customFormat="1" ht="13" outlineLevel="1">
      <c r="A117" s="109"/>
      <c r="B117" s="1162" t="s">
        <v>536</v>
      </c>
      <c r="C117" s="1163"/>
      <c r="D117" s="400" t="s">
        <v>433</v>
      </c>
      <c r="E117" s="401" t="s">
        <v>88</v>
      </c>
      <c r="F117" s="469"/>
      <c r="G117" s="402"/>
      <c r="H117" s="402"/>
      <c r="I117" s="403"/>
      <c r="J117" s="403"/>
      <c r="K117" s="557"/>
      <c r="L117" s="1225">
        <f>+SUM(K117:K120)</f>
        <v>450</v>
      </c>
      <c r="N117" s="95"/>
    </row>
    <row r="118" spans="1:14" s="30" customFormat="1" ht="13" outlineLevel="1">
      <c r="A118" s="109"/>
      <c r="B118" s="1164"/>
      <c r="C118" s="1160"/>
      <c r="D118" s="373" t="s">
        <v>434</v>
      </c>
      <c r="E118" s="374" t="s">
        <v>88</v>
      </c>
      <c r="F118" s="467"/>
      <c r="G118" s="375"/>
      <c r="H118" s="375"/>
      <c r="I118" s="376"/>
      <c r="J118" s="376"/>
      <c r="K118" s="534"/>
      <c r="L118" s="1226"/>
      <c r="N118" s="95"/>
    </row>
    <row r="119" spans="1:14" s="30" customFormat="1" ht="13" outlineLevel="1">
      <c r="A119" s="109"/>
      <c r="B119" s="1164"/>
      <c r="C119" s="1160"/>
      <c r="D119" s="1249" t="s">
        <v>435</v>
      </c>
      <c r="E119" s="370" t="s">
        <v>707</v>
      </c>
      <c r="F119" s="467"/>
      <c r="G119" s="375">
        <v>3</v>
      </c>
      <c r="H119" s="375" t="s">
        <v>364</v>
      </c>
      <c r="I119" s="372">
        <f>+VLOOKUP(E119,'Line items'!$B$3:$D$115,3,FALSE)</f>
        <v>150</v>
      </c>
      <c r="J119" s="376">
        <f t="shared" ref="J119" si="15">+I119*G119</f>
        <v>450</v>
      </c>
      <c r="K119" s="1192">
        <f>+SUM(J119:J120)</f>
        <v>450</v>
      </c>
      <c r="L119" s="1226"/>
      <c r="N119" s="95"/>
    </row>
    <row r="120" spans="1:14" s="30" customFormat="1" outlineLevel="1" thickBot="1">
      <c r="A120" s="109"/>
      <c r="B120" s="1165"/>
      <c r="C120" s="1166"/>
      <c r="D120" s="1250"/>
      <c r="E120" s="396"/>
      <c r="F120" s="468"/>
      <c r="G120" s="397"/>
      <c r="H120" s="397"/>
      <c r="I120" s="398"/>
      <c r="J120" s="398"/>
      <c r="K120" s="1182"/>
      <c r="L120" s="1227"/>
      <c r="N120" s="95"/>
    </row>
    <row r="121" spans="1:14" s="30" customFormat="1" ht="13" outlineLevel="1">
      <c r="A121" s="109"/>
      <c r="B121" s="1162" t="s">
        <v>537</v>
      </c>
      <c r="C121" s="1163"/>
      <c r="D121" s="400" t="s">
        <v>436</v>
      </c>
      <c r="E121" s="401" t="s">
        <v>88</v>
      </c>
      <c r="F121" s="469"/>
      <c r="G121" s="402"/>
      <c r="H121" s="402"/>
      <c r="I121" s="403"/>
      <c r="J121" s="403"/>
      <c r="K121" s="557"/>
      <c r="L121" s="1225">
        <f>+SUM(K121:K124)</f>
        <v>21000</v>
      </c>
      <c r="N121" s="95"/>
    </row>
    <row r="122" spans="1:14" s="30" customFormat="1" ht="13" outlineLevel="1">
      <c r="A122" s="109"/>
      <c r="B122" s="1164"/>
      <c r="C122" s="1160"/>
      <c r="D122" s="373" t="s">
        <v>437</v>
      </c>
      <c r="E122" s="374" t="s">
        <v>88</v>
      </c>
      <c r="F122" s="467"/>
      <c r="G122" s="375"/>
      <c r="H122" s="375"/>
      <c r="I122" s="376"/>
      <c r="J122" s="376"/>
      <c r="K122" s="534"/>
      <c r="L122" s="1226"/>
      <c r="N122" s="95"/>
    </row>
    <row r="123" spans="1:14" s="30" customFormat="1" ht="13" outlineLevel="1">
      <c r="A123" s="109"/>
      <c r="B123" s="1164"/>
      <c r="C123" s="1160"/>
      <c r="D123" s="1249" t="s">
        <v>447</v>
      </c>
      <c r="E123" s="374"/>
      <c r="F123" s="467"/>
      <c r="G123" s="375"/>
      <c r="H123" s="375"/>
      <c r="I123" s="376"/>
      <c r="J123" s="376"/>
      <c r="K123" s="1192">
        <f>+SUM(J123:J124)</f>
        <v>21000</v>
      </c>
      <c r="L123" s="1226"/>
      <c r="N123" s="95"/>
    </row>
    <row r="124" spans="1:14" s="30" customFormat="1" outlineLevel="1" thickBot="1">
      <c r="A124" s="109"/>
      <c r="B124" s="1165"/>
      <c r="C124" s="1166"/>
      <c r="D124" s="1250"/>
      <c r="E124" s="396" t="s">
        <v>725</v>
      </c>
      <c r="F124" s="468"/>
      <c r="G124" s="397">
        <v>1</v>
      </c>
      <c r="H124" s="593" t="s">
        <v>364</v>
      </c>
      <c r="I124" s="408">
        <f>+VLOOKUP(E124,'Line items'!$B$3:$D$115,3,FALSE)</f>
        <v>21000</v>
      </c>
      <c r="J124" s="398">
        <f t="shared" ref="J124:J127" si="16">+I124*G124</f>
        <v>21000</v>
      </c>
      <c r="K124" s="1182"/>
      <c r="L124" s="1227"/>
      <c r="N124" s="95"/>
    </row>
    <row r="125" spans="1:14" s="30" customFormat="1" ht="13" outlineLevel="1">
      <c r="A125" s="109"/>
      <c r="B125" s="1162" t="s">
        <v>538</v>
      </c>
      <c r="C125" s="1163"/>
      <c r="D125" s="1248" t="s">
        <v>438</v>
      </c>
      <c r="E125" s="401"/>
      <c r="F125" s="469"/>
      <c r="G125" s="402"/>
      <c r="H125" s="402"/>
      <c r="I125" s="403"/>
      <c r="J125" s="403"/>
      <c r="K125" s="1217">
        <f>+SUM(J125:J127)</f>
        <v>24000</v>
      </c>
      <c r="L125" s="1225">
        <f>+SUM(K125:K129)</f>
        <v>25000</v>
      </c>
      <c r="N125" s="95"/>
    </row>
    <row r="126" spans="1:14" s="30" customFormat="1" ht="13" outlineLevel="1">
      <c r="A126" s="109"/>
      <c r="B126" s="1164"/>
      <c r="C126" s="1160"/>
      <c r="D126" s="1249"/>
      <c r="E126" s="374" t="s">
        <v>346</v>
      </c>
      <c r="F126" s="467"/>
      <c r="G126" s="375">
        <v>100</v>
      </c>
      <c r="H126" s="585" t="s">
        <v>360</v>
      </c>
      <c r="I126" s="372">
        <f>+VLOOKUP(E126,'Line items'!$B$3:$D$115,3,FALSE)</f>
        <v>30</v>
      </c>
      <c r="J126" s="376">
        <f t="shared" si="16"/>
        <v>3000</v>
      </c>
      <c r="K126" s="1218"/>
      <c r="L126" s="1226"/>
      <c r="N126" s="95"/>
    </row>
    <row r="127" spans="1:14" s="30" customFormat="1" ht="13" outlineLevel="1">
      <c r="A127" s="109"/>
      <c r="B127" s="1164"/>
      <c r="C127" s="1160"/>
      <c r="D127" s="1249"/>
      <c r="E127" s="374" t="s">
        <v>725</v>
      </c>
      <c r="F127" s="467"/>
      <c r="G127" s="375">
        <v>1</v>
      </c>
      <c r="H127" s="375" t="s">
        <v>364</v>
      </c>
      <c r="I127" s="372">
        <f>+VLOOKUP(E127,'Line items'!$B$3:$D$115,3,FALSE)</f>
        <v>21000</v>
      </c>
      <c r="J127" s="376">
        <f t="shared" si="16"/>
        <v>21000</v>
      </c>
      <c r="K127" s="1218"/>
      <c r="L127" s="1226"/>
      <c r="N127" s="95"/>
    </row>
    <row r="128" spans="1:14" s="30" customFormat="1" ht="13" outlineLevel="1">
      <c r="A128" s="109"/>
      <c r="B128" s="1164"/>
      <c r="C128" s="1160"/>
      <c r="D128" s="373" t="s">
        <v>439</v>
      </c>
      <c r="E128" s="374" t="s">
        <v>88</v>
      </c>
      <c r="F128" s="467"/>
      <c r="G128" s="375"/>
      <c r="H128" s="375"/>
      <c r="I128" s="376"/>
      <c r="J128" s="376"/>
      <c r="K128" s="534"/>
      <c r="L128" s="1226"/>
      <c r="N128" s="95"/>
    </row>
    <row r="129" spans="1:14" s="30" customFormat="1" outlineLevel="1" thickBot="1">
      <c r="A129" s="109"/>
      <c r="B129" s="1165"/>
      <c r="C129" s="1166"/>
      <c r="D129" s="395" t="s">
        <v>440</v>
      </c>
      <c r="E129" s="439" t="s">
        <v>191</v>
      </c>
      <c r="F129" s="477"/>
      <c r="G129" s="440">
        <v>100</v>
      </c>
      <c r="H129" s="440" t="s">
        <v>360</v>
      </c>
      <c r="I129" s="408">
        <f>+VLOOKUP(E129,'Line items'!$B$3:$D$115,3,FALSE)</f>
        <v>10</v>
      </c>
      <c r="J129" s="408">
        <f>+I129*G129</f>
        <v>1000</v>
      </c>
      <c r="K129" s="550">
        <f>+J129</f>
        <v>1000</v>
      </c>
      <c r="L129" s="1227"/>
      <c r="N129" s="95"/>
    </row>
    <row r="130" spans="1:14" s="30" customFormat="1" thickBot="1">
      <c r="A130" s="109"/>
      <c r="B130" s="499">
        <v>2.2999999999999998</v>
      </c>
      <c r="C130" s="1210" t="s">
        <v>38</v>
      </c>
      <c r="D130" s="1210"/>
      <c r="E130" s="1210"/>
      <c r="F130" s="500"/>
      <c r="G130" s="501"/>
      <c r="H130" s="501"/>
      <c r="I130" s="502"/>
      <c r="J130" s="502"/>
      <c r="K130" s="562"/>
      <c r="L130" s="563"/>
      <c r="N130" s="95"/>
    </row>
    <row r="131" spans="1:14" s="30" customFormat="1" ht="13" outlineLevel="1">
      <c r="A131" s="109"/>
      <c r="B131" s="1162" t="s">
        <v>539</v>
      </c>
      <c r="C131" s="1163"/>
      <c r="D131" s="400" t="s">
        <v>441</v>
      </c>
      <c r="E131" s="401" t="s">
        <v>321</v>
      </c>
      <c r="F131" s="469"/>
      <c r="G131" s="402">
        <v>100</v>
      </c>
      <c r="H131" s="402" t="s">
        <v>360</v>
      </c>
      <c r="I131" s="394">
        <f>+VLOOKUP(E131,'Line items'!$B$3:$D$115,3,FALSE)</f>
        <v>10</v>
      </c>
      <c r="J131" s="403">
        <f>+I131*G131</f>
        <v>1000</v>
      </c>
      <c r="K131" s="549">
        <f>+J131</f>
        <v>1000</v>
      </c>
      <c r="L131" s="1225">
        <f>+SUM(K131:K135)</f>
        <v>41000</v>
      </c>
      <c r="N131" s="95"/>
    </row>
    <row r="132" spans="1:14" s="30" customFormat="1" ht="13" outlineLevel="1">
      <c r="A132" s="109"/>
      <c r="B132" s="1164"/>
      <c r="C132" s="1160"/>
      <c r="D132" s="373" t="s">
        <v>442</v>
      </c>
      <c r="E132" s="374" t="s">
        <v>88</v>
      </c>
      <c r="F132" s="467"/>
      <c r="G132" s="375"/>
      <c r="H132" s="375"/>
      <c r="I132" s="376"/>
      <c r="J132" s="376"/>
      <c r="K132" s="534"/>
      <c r="L132" s="1226"/>
      <c r="N132" s="95"/>
    </row>
    <row r="133" spans="1:14" s="30" customFormat="1" ht="13" outlineLevel="1">
      <c r="A133" s="109"/>
      <c r="B133" s="1164"/>
      <c r="C133" s="1160"/>
      <c r="D133" s="1249" t="s">
        <v>443</v>
      </c>
      <c r="E133" s="374" t="s">
        <v>647</v>
      </c>
      <c r="F133" s="467"/>
      <c r="G133" s="375">
        <v>4000</v>
      </c>
      <c r="H133" s="375" t="s">
        <v>95</v>
      </c>
      <c r="I133" s="372">
        <f>+VLOOKUP(E133,'Line items'!$B$3:$D$115,3,FALSE)</f>
        <v>10</v>
      </c>
      <c r="J133" s="376">
        <f t="shared" ref="J133:J136" si="17">+I133*G133</f>
        <v>40000</v>
      </c>
      <c r="K133" s="1218">
        <f>+SUM(J133:J135)</f>
        <v>40000</v>
      </c>
      <c r="L133" s="1226"/>
      <c r="N133" s="95"/>
    </row>
    <row r="134" spans="1:14" s="30" customFormat="1" ht="13" outlineLevel="1">
      <c r="A134" s="109"/>
      <c r="B134" s="1164"/>
      <c r="C134" s="1160"/>
      <c r="D134" s="1249"/>
      <c r="E134" s="374"/>
      <c r="F134" s="467"/>
      <c r="G134" s="375"/>
      <c r="H134" s="375"/>
      <c r="I134" s="372"/>
      <c r="J134" s="376"/>
      <c r="K134" s="1218"/>
      <c r="L134" s="1226"/>
      <c r="N134" s="95"/>
    </row>
    <row r="135" spans="1:14" s="30" customFormat="1" outlineLevel="1" thickBot="1">
      <c r="A135" s="109"/>
      <c r="B135" s="1165"/>
      <c r="C135" s="1166"/>
      <c r="D135" s="1250"/>
      <c r="E135" s="505"/>
      <c r="F135" s="468"/>
      <c r="G135" s="397"/>
      <c r="H135" s="397"/>
      <c r="I135" s="408"/>
      <c r="J135" s="398"/>
      <c r="K135" s="1223"/>
      <c r="L135" s="1227"/>
      <c r="N135" s="95"/>
    </row>
    <row r="136" spans="1:14" s="30" customFormat="1" ht="13" outlineLevel="1">
      <c r="A136" s="109"/>
      <c r="B136" s="1162" t="s">
        <v>540</v>
      </c>
      <c r="C136" s="1163"/>
      <c r="D136" s="400" t="s">
        <v>444</v>
      </c>
      <c r="E136" s="401" t="s">
        <v>321</v>
      </c>
      <c r="F136" s="469"/>
      <c r="G136" s="402">
        <v>100</v>
      </c>
      <c r="H136" s="402" t="s">
        <v>360</v>
      </c>
      <c r="I136" s="394">
        <f>+VLOOKUP(E136,'Line items'!$B$3:$D$115,3,FALSE)</f>
        <v>10</v>
      </c>
      <c r="J136" s="403">
        <f t="shared" si="17"/>
        <v>1000</v>
      </c>
      <c r="K136" s="549">
        <f>+J136</f>
        <v>1000</v>
      </c>
      <c r="L136" s="1225">
        <f>+SUM(K136:K140)</f>
        <v>41000</v>
      </c>
      <c r="N136" s="95"/>
    </row>
    <row r="137" spans="1:14" s="30" customFormat="1" ht="13" outlineLevel="1">
      <c r="A137" s="109"/>
      <c r="B137" s="1164"/>
      <c r="C137" s="1160"/>
      <c r="D137" s="373" t="s">
        <v>445</v>
      </c>
      <c r="E137" s="374" t="s">
        <v>88</v>
      </c>
      <c r="F137" s="467"/>
      <c r="G137" s="375"/>
      <c r="H137" s="375"/>
      <c r="I137" s="376"/>
      <c r="J137" s="376"/>
      <c r="K137" s="534"/>
      <c r="L137" s="1226"/>
      <c r="N137" s="95"/>
    </row>
    <row r="138" spans="1:14" s="30" customFormat="1" ht="13" outlineLevel="1">
      <c r="A138" s="109"/>
      <c r="B138" s="1164"/>
      <c r="C138" s="1160"/>
      <c r="D138" s="1249" t="s">
        <v>446</v>
      </c>
      <c r="E138" s="374" t="s">
        <v>647</v>
      </c>
      <c r="F138" s="467"/>
      <c r="G138" s="375">
        <v>4000</v>
      </c>
      <c r="H138" s="375" t="s">
        <v>95</v>
      </c>
      <c r="I138" s="372">
        <f>+VLOOKUP(E138,'Line items'!$B$3:$D$115,3,FALSE)</f>
        <v>10</v>
      </c>
      <c r="J138" s="376">
        <f t="shared" ref="J138" si="18">+I138*G138</f>
        <v>40000</v>
      </c>
      <c r="K138" s="1218">
        <f>+SUM(J138:J140)</f>
        <v>40000</v>
      </c>
      <c r="L138" s="1226"/>
      <c r="N138" s="95"/>
    </row>
    <row r="139" spans="1:14" s="30" customFormat="1" ht="13" outlineLevel="1">
      <c r="A139" s="109"/>
      <c r="B139" s="1164"/>
      <c r="C139" s="1160"/>
      <c r="D139" s="1249"/>
      <c r="E139" s="374"/>
      <c r="F139" s="467"/>
      <c r="G139" s="375"/>
      <c r="H139" s="375"/>
      <c r="I139" s="376"/>
      <c r="J139" s="376"/>
      <c r="K139" s="1218"/>
      <c r="L139" s="1226"/>
      <c r="N139" s="95"/>
    </row>
    <row r="140" spans="1:14" s="30" customFormat="1" outlineLevel="1" thickBot="1">
      <c r="A140" s="109"/>
      <c r="B140" s="1165"/>
      <c r="C140" s="1166"/>
      <c r="D140" s="1250"/>
      <c r="E140" s="505"/>
      <c r="F140" s="468"/>
      <c r="G140" s="397"/>
      <c r="H140" s="397"/>
      <c r="I140" s="398"/>
      <c r="J140" s="398"/>
      <c r="K140" s="1223"/>
      <c r="L140" s="1227"/>
      <c r="N140" s="95"/>
    </row>
    <row r="141" spans="1:14" s="30" customFormat="1" thickBot="1">
      <c r="A141" s="109"/>
      <c r="B141" s="510">
        <v>3</v>
      </c>
      <c r="C141" s="511" t="s">
        <v>53</v>
      </c>
      <c r="D141" s="512"/>
      <c r="E141" s="513"/>
      <c r="F141" s="514"/>
      <c r="G141" s="515"/>
      <c r="H141" s="515"/>
      <c r="I141" s="516"/>
      <c r="J141" s="516"/>
      <c r="K141" s="564"/>
      <c r="L141" s="565"/>
      <c r="N141" s="95"/>
    </row>
    <row r="142" spans="1:14" s="30" customFormat="1" thickBot="1">
      <c r="A142" s="109"/>
      <c r="B142" s="519">
        <v>3.1</v>
      </c>
      <c r="C142" s="1173" t="s">
        <v>42</v>
      </c>
      <c r="D142" s="1173"/>
      <c r="E142" s="1173"/>
      <c r="F142" s="520"/>
      <c r="G142" s="521"/>
      <c r="H142" s="521"/>
      <c r="I142" s="522"/>
      <c r="J142" s="522"/>
      <c r="K142" s="566"/>
      <c r="L142" s="567"/>
      <c r="N142" s="95"/>
    </row>
    <row r="143" spans="1:14" s="30" customFormat="1" ht="13" outlineLevel="1">
      <c r="A143" s="109"/>
      <c r="B143" s="1162" t="s">
        <v>541</v>
      </c>
      <c r="C143" s="1163"/>
      <c r="D143" s="1248" t="s">
        <v>448</v>
      </c>
      <c r="E143" s="401" t="s">
        <v>324</v>
      </c>
      <c r="F143" s="469"/>
      <c r="G143" s="402">
        <v>1</v>
      </c>
      <c r="H143" s="402" t="s">
        <v>364</v>
      </c>
      <c r="I143" s="394">
        <f>+VLOOKUP(E143,'Line items'!$B$3:$D$115,3,FALSE)</f>
        <v>2500</v>
      </c>
      <c r="J143" s="403">
        <f t="shared" ref="J143:J144" si="19">+I143*G143</f>
        <v>2500</v>
      </c>
      <c r="K143" s="1186">
        <f>+SUM(J143:J144)</f>
        <v>23500</v>
      </c>
      <c r="L143" s="1225">
        <f>+SUM(K143:K146)</f>
        <v>59500</v>
      </c>
      <c r="N143" s="95"/>
    </row>
    <row r="144" spans="1:14" s="30" customFormat="1" ht="13" outlineLevel="1">
      <c r="A144" s="109"/>
      <c r="B144" s="1164"/>
      <c r="C144" s="1160"/>
      <c r="D144" s="1249"/>
      <c r="E144" s="370" t="s">
        <v>715</v>
      </c>
      <c r="F144" s="467"/>
      <c r="G144" s="375">
        <v>300</v>
      </c>
      <c r="H144" s="375" t="s">
        <v>360</v>
      </c>
      <c r="I144" s="372">
        <f>+VLOOKUP(E144,'Line items'!$B$3:$D$115,3,FALSE)</f>
        <v>70</v>
      </c>
      <c r="J144" s="376">
        <f t="shared" si="19"/>
        <v>21000</v>
      </c>
      <c r="K144" s="1180"/>
      <c r="L144" s="1226"/>
      <c r="N144" s="95"/>
    </row>
    <row r="145" spans="1:14" s="30" customFormat="1" ht="13" outlineLevel="1">
      <c r="A145" s="109"/>
      <c r="B145" s="1164"/>
      <c r="C145" s="1160"/>
      <c r="D145" s="373" t="s">
        <v>449</v>
      </c>
      <c r="E145" s="374" t="s">
        <v>88</v>
      </c>
      <c r="F145" s="467"/>
      <c r="G145" s="375"/>
      <c r="H145" s="375"/>
      <c r="I145" s="376"/>
      <c r="J145" s="376"/>
      <c r="K145" s="534"/>
      <c r="L145" s="1226"/>
      <c r="N145" s="95"/>
    </row>
    <row r="146" spans="1:14" s="30" customFormat="1" outlineLevel="1" thickBot="1">
      <c r="A146" s="109"/>
      <c r="B146" s="1165"/>
      <c r="C146" s="1166"/>
      <c r="D146" s="395" t="s">
        <v>450</v>
      </c>
      <c r="E146" s="439" t="s">
        <v>723</v>
      </c>
      <c r="F146" s="477"/>
      <c r="G146" s="440">
        <v>300</v>
      </c>
      <c r="H146" s="440" t="s">
        <v>360</v>
      </c>
      <c r="I146" s="408">
        <f>+VLOOKUP(E146,'Line items'!$B$3:$D$115,3,FALSE)</f>
        <v>120</v>
      </c>
      <c r="J146" s="408">
        <f>+I146*G146</f>
        <v>36000</v>
      </c>
      <c r="K146" s="550">
        <f>+J146</f>
        <v>36000</v>
      </c>
      <c r="L146" s="1227"/>
      <c r="N146" s="95"/>
    </row>
    <row r="147" spans="1:14" s="30" customFormat="1" thickBot="1">
      <c r="A147" s="109"/>
      <c r="B147" s="519">
        <v>3.2</v>
      </c>
      <c r="C147" s="1173" t="s">
        <v>43</v>
      </c>
      <c r="D147" s="1173"/>
      <c r="E147" s="1173"/>
      <c r="F147" s="520"/>
      <c r="G147" s="521"/>
      <c r="H147" s="521"/>
      <c r="I147" s="522"/>
      <c r="J147" s="522"/>
      <c r="K147" s="566"/>
      <c r="L147" s="567"/>
      <c r="N147" s="95"/>
    </row>
    <row r="148" spans="1:14" s="30" customFormat="1" ht="13" outlineLevel="1">
      <c r="A148" s="109"/>
      <c r="B148" s="1162" t="s">
        <v>542</v>
      </c>
      <c r="C148" s="1163"/>
      <c r="D148" s="1246" t="s">
        <v>451</v>
      </c>
      <c r="E148" s="401" t="s">
        <v>325</v>
      </c>
      <c r="F148" s="469"/>
      <c r="G148" s="402"/>
      <c r="H148" s="402"/>
      <c r="I148" s="403"/>
      <c r="J148" s="403">
        <f t="shared" ref="J148:J150" si="20">+I148*G148</f>
        <v>0</v>
      </c>
      <c r="K148" s="1217">
        <f>+SUM(J148:J150)</f>
        <v>21700</v>
      </c>
      <c r="L148" s="1225">
        <f>+SUM(K148:K152)</f>
        <v>57700</v>
      </c>
      <c r="N148" s="95"/>
    </row>
    <row r="149" spans="1:14" s="30" customFormat="1" ht="13" outlineLevel="1">
      <c r="A149" s="109"/>
      <c r="B149" s="1164"/>
      <c r="C149" s="1160"/>
      <c r="D149" s="1247"/>
      <c r="E149" s="370" t="s">
        <v>715</v>
      </c>
      <c r="F149" s="467"/>
      <c r="G149" s="375">
        <v>300</v>
      </c>
      <c r="H149" s="375" t="s">
        <v>360</v>
      </c>
      <c r="I149" s="376">
        <f>+VLOOKUP($E149,Supermarket!$E$10:$I$193,5,FALSE)</f>
        <v>70</v>
      </c>
      <c r="J149" s="376">
        <f t="shared" si="20"/>
        <v>21000</v>
      </c>
      <c r="K149" s="1218"/>
      <c r="L149" s="1226"/>
      <c r="N149" s="95"/>
    </row>
    <row r="150" spans="1:14" s="30" customFormat="1" ht="13" outlineLevel="1">
      <c r="A150" s="109"/>
      <c r="B150" s="1164"/>
      <c r="C150" s="1160"/>
      <c r="D150" s="1247"/>
      <c r="E150" s="374" t="s">
        <v>705</v>
      </c>
      <c r="F150" s="467"/>
      <c r="G150" s="375">
        <v>1</v>
      </c>
      <c r="H150" s="375" t="s">
        <v>364</v>
      </c>
      <c r="I150" s="376">
        <f>+VLOOKUP($E150,Supermarket!$E$10:$I$193,5,FALSE)</f>
        <v>700</v>
      </c>
      <c r="J150" s="376">
        <f t="shared" si="20"/>
        <v>700</v>
      </c>
      <c r="K150" s="1218"/>
      <c r="L150" s="1226"/>
      <c r="N150" s="95"/>
    </row>
    <row r="151" spans="1:14" s="30" customFormat="1" ht="13" outlineLevel="1">
      <c r="A151" s="109"/>
      <c r="B151" s="1164"/>
      <c r="C151" s="1160"/>
      <c r="D151" s="373" t="s">
        <v>452</v>
      </c>
      <c r="E151" s="374" t="s">
        <v>88</v>
      </c>
      <c r="F151" s="467"/>
      <c r="G151" s="375"/>
      <c r="H151" s="375"/>
      <c r="I151" s="376"/>
      <c r="J151" s="376"/>
      <c r="K151" s="534"/>
      <c r="L151" s="1226"/>
      <c r="N151" s="95"/>
    </row>
    <row r="152" spans="1:14" s="30" customFormat="1" outlineLevel="1" thickBot="1">
      <c r="A152" s="109"/>
      <c r="B152" s="1165"/>
      <c r="C152" s="1166"/>
      <c r="D152" s="395" t="s">
        <v>453</v>
      </c>
      <c r="E152" s="396" t="s">
        <v>716</v>
      </c>
      <c r="F152" s="468"/>
      <c r="G152" s="397">
        <v>300</v>
      </c>
      <c r="H152" s="397" t="s">
        <v>360</v>
      </c>
      <c r="I152" s="398">
        <f>+VLOOKUP($E152,Supermarket!$E$10:$I$193,5,FALSE)</f>
        <v>120</v>
      </c>
      <c r="J152" s="398">
        <f t="shared" ref="J152:J156" si="21">+I152*G152</f>
        <v>36000</v>
      </c>
      <c r="K152" s="548">
        <f>+J152</f>
        <v>36000</v>
      </c>
      <c r="L152" s="1227"/>
      <c r="N152" s="95"/>
    </row>
    <row r="153" spans="1:14" s="30" customFormat="1" ht="13" outlineLevel="1">
      <c r="A153" s="109"/>
      <c r="B153" s="1162" t="s">
        <v>543</v>
      </c>
      <c r="C153" s="1163"/>
      <c r="D153" s="1248" t="s">
        <v>454</v>
      </c>
      <c r="E153" s="401"/>
      <c r="F153" s="469"/>
      <c r="G153" s="402"/>
      <c r="H153" s="402"/>
      <c r="I153" s="403"/>
      <c r="J153" s="403"/>
      <c r="K153" s="1186">
        <f>+SUM(J153:J154)</f>
        <v>700</v>
      </c>
      <c r="L153" s="1225">
        <f>+SUM(K153:K156)</f>
        <v>41700</v>
      </c>
      <c r="N153" s="95"/>
    </row>
    <row r="154" spans="1:14" s="30" customFormat="1" ht="13" outlineLevel="1">
      <c r="A154" s="109"/>
      <c r="B154" s="1164"/>
      <c r="C154" s="1160"/>
      <c r="D154" s="1249"/>
      <c r="E154" s="374" t="s">
        <v>705</v>
      </c>
      <c r="F154" s="467"/>
      <c r="G154" s="375">
        <v>1</v>
      </c>
      <c r="H154" s="375" t="s">
        <v>364</v>
      </c>
      <c r="I154" s="376">
        <f>+VLOOKUP($E154,Supermarket!$E$10:$I$193,5,FALSE)</f>
        <v>700</v>
      </c>
      <c r="J154" s="376">
        <f t="shared" si="21"/>
        <v>700</v>
      </c>
      <c r="K154" s="1180"/>
      <c r="L154" s="1226"/>
      <c r="N154" s="95"/>
    </row>
    <row r="155" spans="1:14" s="30" customFormat="1" ht="13" outlineLevel="1">
      <c r="A155" s="109"/>
      <c r="B155" s="1164"/>
      <c r="C155" s="1160"/>
      <c r="D155" s="373" t="s">
        <v>455</v>
      </c>
      <c r="E155" s="374" t="s">
        <v>717</v>
      </c>
      <c r="F155" s="467"/>
      <c r="G155" s="375">
        <v>1</v>
      </c>
      <c r="H155" s="375" t="s">
        <v>364</v>
      </c>
      <c r="I155" s="376">
        <f>+VLOOKUP($E155,Supermarket!$E$10:$I$193,5,FALSE)</f>
        <v>5000</v>
      </c>
      <c r="J155" s="376">
        <f t="shared" si="21"/>
        <v>5000</v>
      </c>
      <c r="K155" s="532">
        <f t="shared" ref="K155:K156" si="22">+J155</f>
        <v>5000</v>
      </c>
      <c r="L155" s="1226"/>
      <c r="N155" s="95"/>
    </row>
    <row r="156" spans="1:14" s="30" customFormat="1" outlineLevel="1" thickBot="1">
      <c r="A156" s="109"/>
      <c r="B156" s="1165"/>
      <c r="C156" s="1166"/>
      <c r="D156" s="395" t="s">
        <v>456</v>
      </c>
      <c r="E156" s="396" t="s">
        <v>716</v>
      </c>
      <c r="F156" s="468"/>
      <c r="G156" s="397">
        <v>300</v>
      </c>
      <c r="H156" s="397" t="s">
        <v>360</v>
      </c>
      <c r="I156" s="398">
        <f>+VLOOKUP($E156,Supermarket!$E$10:$I$193,5,FALSE)</f>
        <v>120</v>
      </c>
      <c r="J156" s="398">
        <f t="shared" si="21"/>
        <v>36000</v>
      </c>
      <c r="K156" s="548">
        <f t="shared" si="22"/>
        <v>36000</v>
      </c>
      <c r="L156" s="1227"/>
      <c r="N156" s="95"/>
    </row>
    <row r="157" spans="1:14" s="30" customFormat="1" ht="13" outlineLevel="1">
      <c r="A157" s="109"/>
      <c r="B157" s="1162" t="s">
        <v>544</v>
      </c>
      <c r="C157" s="1163"/>
      <c r="D157" s="400" t="s">
        <v>457</v>
      </c>
      <c r="E157" s="401" t="s">
        <v>88</v>
      </c>
      <c r="F157" s="469"/>
      <c r="G157" s="402"/>
      <c r="H157" s="402"/>
      <c r="I157" s="403"/>
      <c r="J157" s="403"/>
      <c r="K157" s="557"/>
      <c r="L157" s="1225">
        <f>+SUM(K157:K159)</f>
        <v>2000</v>
      </c>
      <c r="N157" s="95"/>
    </row>
    <row r="158" spans="1:14" s="30" customFormat="1" ht="13" outlineLevel="1">
      <c r="A158" s="109"/>
      <c r="B158" s="1164"/>
      <c r="C158" s="1160"/>
      <c r="D158" s="373" t="s">
        <v>458</v>
      </c>
      <c r="E158" s="374" t="s">
        <v>88</v>
      </c>
      <c r="F158" s="467"/>
      <c r="G158" s="375"/>
      <c r="H158" s="375"/>
      <c r="I158" s="376"/>
      <c r="J158" s="376"/>
      <c r="K158" s="534"/>
      <c r="L158" s="1226"/>
      <c r="N158" s="95"/>
    </row>
    <row r="159" spans="1:14" s="30" customFormat="1" outlineLevel="1" thickBot="1">
      <c r="A159" s="109"/>
      <c r="B159" s="1165"/>
      <c r="C159" s="1166"/>
      <c r="D159" s="395" t="s">
        <v>459</v>
      </c>
      <c r="E159" s="396" t="s">
        <v>326</v>
      </c>
      <c r="F159" s="468"/>
      <c r="G159" s="397">
        <v>1</v>
      </c>
      <c r="H159" s="397" t="s">
        <v>358</v>
      </c>
      <c r="I159" s="398">
        <f>+VLOOKUP($E159,Supermarket!$E$10:$I$193,5,FALSE)</f>
        <v>2000</v>
      </c>
      <c r="J159" s="398">
        <f>+I159*G159</f>
        <v>2000</v>
      </c>
      <c r="K159" s="548">
        <f>+J159</f>
        <v>2000</v>
      </c>
      <c r="L159" s="1227"/>
      <c r="N159" s="95"/>
    </row>
    <row r="160" spans="1:14" s="30" customFormat="1" thickBot="1">
      <c r="A160" s="109"/>
      <c r="B160" s="519">
        <v>3.3</v>
      </c>
      <c r="C160" s="1173" t="s">
        <v>44</v>
      </c>
      <c r="D160" s="1173"/>
      <c r="E160" s="1173"/>
      <c r="F160" s="520"/>
      <c r="G160" s="521"/>
      <c r="H160" s="521"/>
      <c r="I160" s="522"/>
      <c r="J160" s="522"/>
      <c r="K160" s="566"/>
      <c r="L160" s="567"/>
      <c r="N160" s="95"/>
    </row>
    <row r="161" spans="1:14" s="30" customFormat="1" ht="13" outlineLevel="1">
      <c r="A161" s="109"/>
      <c r="B161" s="1162" t="s">
        <v>545</v>
      </c>
      <c r="C161" s="1163"/>
      <c r="D161" s="1246" t="s">
        <v>460</v>
      </c>
      <c r="E161" s="401" t="s">
        <v>327</v>
      </c>
      <c r="F161" s="469"/>
      <c r="G161" s="402"/>
      <c r="H161" s="402"/>
      <c r="I161" s="403">
        <f>+VLOOKUP($E161,Supermarket!$E$10:$I$193,5,FALSE)</f>
        <v>0</v>
      </c>
      <c r="J161" s="403">
        <f t="shared" ref="J161:J163" si="23">+I161*G161</f>
        <v>0</v>
      </c>
      <c r="K161" s="1217">
        <f>+SUM(J161:J163)</f>
        <v>0</v>
      </c>
      <c r="L161" s="1225">
        <f>+SUM(K161:K165)</f>
        <v>0</v>
      </c>
      <c r="N161" s="95"/>
    </row>
    <row r="162" spans="1:14" s="30" customFormat="1" ht="13" outlineLevel="1">
      <c r="A162" s="109"/>
      <c r="B162" s="1164"/>
      <c r="C162" s="1160"/>
      <c r="D162" s="1247"/>
      <c r="E162" s="374" t="s">
        <v>328</v>
      </c>
      <c r="F162" s="467"/>
      <c r="G162" s="375"/>
      <c r="H162" s="375"/>
      <c r="I162" s="376">
        <f>+VLOOKUP($E162,Supermarket!$E$10:$I$193,5,FALSE)</f>
        <v>0</v>
      </c>
      <c r="J162" s="376">
        <f t="shared" si="23"/>
        <v>0</v>
      </c>
      <c r="K162" s="1218"/>
      <c r="L162" s="1226"/>
      <c r="N162" s="95"/>
    </row>
    <row r="163" spans="1:14" s="30" customFormat="1" ht="13" outlineLevel="1">
      <c r="A163" s="109"/>
      <c r="B163" s="1164"/>
      <c r="C163" s="1160"/>
      <c r="D163" s="1247"/>
      <c r="E163" s="374" t="s">
        <v>329</v>
      </c>
      <c r="F163" s="467"/>
      <c r="G163" s="375"/>
      <c r="H163" s="375"/>
      <c r="I163" s="376">
        <f>+VLOOKUP($E163,Supermarket!$E$10:$I$193,5,FALSE)</f>
        <v>0</v>
      </c>
      <c r="J163" s="376">
        <f t="shared" si="23"/>
        <v>0</v>
      </c>
      <c r="K163" s="1218"/>
      <c r="L163" s="1226"/>
      <c r="N163" s="95"/>
    </row>
    <row r="164" spans="1:14" s="30" customFormat="1" ht="13" outlineLevel="1">
      <c r="A164" s="109"/>
      <c r="B164" s="1164"/>
      <c r="C164" s="1160"/>
      <c r="D164" s="373" t="s">
        <v>461</v>
      </c>
      <c r="E164" s="374" t="s">
        <v>88</v>
      </c>
      <c r="F164" s="467"/>
      <c r="G164" s="375"/>
      <c r="H164" s="375"/>
      <c r="I164" s="376"/>
      <c r="J164" s="376"/>
      <c r="K164" s="534"/>
      <c r="L164" s="1226"/>
      <c r="N164" s="95"/>
    </row>
    <row r="165" spans="1:14" s="30" customFormat="1" outlineLevel="1" thickBot="1">
      <c r="A165" s="109"/>
      <c r="B165" s="1165"/>
      <c r="C165" s="1166"/>
      <c r="D165" s="395" t="s">
        <v>462</v>
      </c>
      <c r="E165" s="396" t="s">
        <v>202</v>
      </c>
      <c r="F165" s="468"/>
      <c r="G165" s="397"/>
      <c r="H165" s="397"/>
      <c r="I165" s="398">
        <f>+VLOOKUP($E165,Supermarket!$E$10:$I$193,5,FALSE)</f>
        <v>0</v>
      </c>
      <c r="J165" s="398">
        <f t="shared" ref="J165:J167" si="24">+I165*G165</f>
        <v>0</v>
      </c>
      <c r="K165" s="548">
        <f>+J165</f>
        <v>0</v>
      </c>
      <c r="L165" s="1227"/>
      <c r="N165" s="95"/>
    </row>
    <row r="166" spans="1:14" s="30" customFormat="1" ht="13" outlineLevel="1">
      <c r="A166" s="109"/>
      <c r="B166" s="1162" t="s">
        <v>546</v>
      </c>
      <c r="C166" s="1163"/>
      <c r="D166" s="1246" t="s">
        <v>463</v>
      </c>
      <c r="E166" s="401" t="s">
        <v>718</v>
      </c>
      <c r="F166" s="469"/>
      <c r="G166" s="402">
        <v>300</v>
      </c>
      <c r="H166" s="402" t="s">
        <v>360</v>
      </c>
      <c r="I166" s="403">
        <f>+VLOOKUP($E166,Supermarket!$E$10:$I$193,5,FALSE)</f>
        <v>10</v>
      </c>
      <c r="J166" s="403">
        <f t="shared" si="24"/>
        <v>3000</v>
      </c>
      <c r="K166" s="1186">
        <f>+SUM(J166:J167)</f>
        <v>4040</v>
      </c>
      <c r="L166" s="1225">
        <f>+SUM(K166:K169)</f>
        <v>5080</v>
      </c>
      <c r="N166" s="95"/>
    </row>
    <row r="167" spans="1:14" s="30" customFormat="1" ht="13" outlineLevel="1">
      <c r="A167" s="109"/>
      <c r="B167" s="1164"/>
      <c r="C167" s="1160"/>
      <c r="D167" s="1247"/>
      <c r="E167" s="374" t="s">
        <v>330</v>
      </c>
      <c r="F167" s="467"/>
      <c r="G167" s="375">
        <v>8</v>
      </c>
      <c r="H167" s="375" t="s">
        <v>364</v>
      </c>
      <c r="I167" s="376">
        <f>+VLOOKUP($E167,Supermarket!$E$10:$I$193,5,FALSE)</f>
        <v>130</v>
      </c>
      <c r="J167" s="376">
        <f t="shared" si="24"/>
        <v>1040</v>
      </c>
      <c r="K167" s="1180"/>
      <c r="L167" s="1226"/>
      <c r="N167" s="95"/>
    </row>
    <row r="168" spans="1:14" s="30" customFormat="1" ht="13" outlineLevel="1">
      <c r="A168" s="109"/>
      <c r="B168" s="1164"/>
      <c r="C168" s="1160"/>
      <c r="D168" s="373" t="s">
        <v>464</v>
      </c>
      <c r="E168" s="374" t="s">
        <v>88</v>
      </c>
      <c r="F168" s="467"/>
      <c r="G168" s="375"/>
      <c r="H168" s="375"/>
      <c r="I168" s="376"/>
      <c r="J168" s="376"/>
      <c r="K168" s="534"/>
      <c r="L168" s="1226"/>
      <c r="N168" s="95"/>
    </row>
    <row r="169" spans="1:14" s="30" customFormat="1" outlineLevel="1" thickBot="1">
      <c r="A169" s="109"/>
      <c r="B169" s="1165"/>
      <c r="C169" s="1166"/>
      <c r="D169" s="395" t="s">
        <v>465</v>
      </c>
      <c r="E169" s="396" t="s">
        <v>330</v>
      </c>
      <c r="F169" s="468"/>
      <c r="G169" s="397">
        <v>8</v>
      </c>
      <c r="H169" s="397" t="s">
        <v>364</v>
      </c>
      <c r="I169" s="398">
        <f>+VLOOKUP($E169,Supermarket!$E$10:$I$193,5,FALSE)</f>
        <v>130</v>
      </c>
      <c r="J169" s="398">
        <f t="shared" ref="J169:J172" si="25">+I169*G169</f>
        <v>1040</v>
      </c>
      <c r="K169" s="548">
        <f>+J169</f>
        <v>1040</v>
      </c>
      <c r="L169" s="1227"/>
      <c r="N169" s="95"/>
    </row>
    <row r="170" spans="1:14" s="30" customFormat="1" ht="13" outlineLevel="1">
      <c r="A170" s="109"/>
      <c r="B170" s="1162" t="s">
        <v>547</v>
      </c>
      <c r="C170" s="1163"/>
      <c r="D170" s="1248" t="s">
        <v>466</v>
      </c>
      <c r="E170" s="401" t="s">
        <v>331</v>
      </c>
      <c r="F170" s="469"/>
      <c r="G170" s="402"/>
      <c r="H170" s="402"/>
      <c r="I170" s="403"/>
      <c r="J170" s="403"/>
      <c r="K170" s="1217">
        <f>+SUM(J170:J172)</f>
        <v>4040</v>
      </c>
      <c r="L170" s="1225">
        <f>+SUM(K170:K174)</f>
        <v>5080</v>
      </c>
      <c r="N170" s="95"/>
    </row>
    <row r="171" spans="1:14" s="30" customFormat="1" ht="13" outlineLevel="1">
      <c r="A171" s="109"/>
      <c r="B171" s="1164"/>
      <c r="C171" s="1160"/>
      <c r="D171" s="1249"/>
      <c r="E171" s="374" t="s">
        <v>718</v>
      </c>
      <c r="F171" s="467"/>
      <c r="G171" s="375">
        <v>300</v>
      </c>
      <c r="H171" s="375" t="s">
        <v>360</v>
      </c>
      <c r="I171" s="376">
        <f>+VLOOKUP($E171,Supermarket!$E$10:$I$193,5,FALSE)</f>
        <v>10</v>
      </c>
      <c r="J171" s="376">
        <f t="shared" si="25"/>
        <v>3000</v>
      </c>
      <c r="K171" s="1218"/>
      <c r="L171" s="1226"/>
      <c r="N171" s="95"/>
    </row>
    <row r="172" spans="1:14" s="30" customFormat="1" ht="13" outlineLevel="1">
      <c r="A172" s="109"/>
      <c r="B172" s="1164"/>
      <c r="C172" s="1160"/>
      <c r="D172" s="1249"/>
      <c r="E172" s="374" t="s">
        <v>330</v>
      </c>
      <c r="F172" s="467"/>
      <c r="G172" s="375">
        <v>8</v>
      </c>
      <c r="H172" s="375" t="s">
        <v>364</v>
      </c>
      <c r="I172" s="376">
        <f>+VLOOKUP($E172,Supermarket!$E$10:$I$193,5,FALSE)</f>
        <v>130</v>
      </c>
      <c r="J172" s="376">
        <f t="shared" si="25"/>
        <v>1040</v>
      </c>
      <c r="K172" s="1218"/>
      <c r="L172" s="1226"/>
      <c r="N172" s="95"/>
    </row>
    <row r="173" spans="1:14" s="30" customFormat="1" ht="13" outlineLevel="1">
      <c r="A173" s="109"/>
      <c r="B173" s="1164"/>
      <c r="C173" s="1160"/>
      <c r="D173" s="373" t="s">
        <v>467</v>
      </c>
      <c r="E173" s="374" t="s">
        <v>88</v>
      </c>
      <c r="F173" s="467"/>
      <c r="G173" s="375"/>
      <c r="H173" s="375"/>
      <c r="I173" s="376"/>
      <c r="J173" s="376"/>
      <c r="K173" s="534"/>
      <c r="L173" s="1226"/>
      <c r="N173" s="95"/>
    </row>
    <row r="174" spans="1:14" s="30" customFormat="1" outlineLevel="1" thickBot="1">
      <c r="A174" s="109"/>
      <c r="B174" s="1165"/>
      <c r="C174" s="1166"/>
      <c r="D174" s="395" t="s">
        <v>468</v>
      </c>
      <c r="E174" s="396" t="s">
        <v>330</v>
      </c>
      <c r="F174" s="477"/>
      <c r="G174" s="440">
        <v>8</v>
      </c>
      <c r="H174" s="440" t="s">
        <v>364</v>
      </c>
      <c r="I174" s="398">
        <f>+VLOOKUP($E174,Supermarket!$E$10:$I$193,5,FALSE)</f>
        <v>130</v>
      </c>
      <c r="J174" s="408">
        <f>+I174*G174</f>
        <v>1040</v>
      </c>
      <c r="K174" s="550">
        <f>+J174</f>
        <v>1040</v>
      </c>
      <c r="L174" s="1227"/>
      <c r="N174" s="95"/>
    </row>
    <row r="175" spans="1:14" s="30" customFormat="1" thickBot="1">
      <c r="A175" s="109"/>
      <c r="B175" s="519">
        <v>3.4</v>
      </c>
      <c r="C175" s="1173" t="s">
        <v>45</v>
      </c>
      <c r="D175" s="1173"/>
      <c r="E175" s="1173"/>
      <c r="F175" s="520"/>
      <c r="G175" s="521"/>
      <c r="H175" s="521"/>
      <c r="I175" s="522"/>
      <c r="J175" s="522"/>
      <c r="K175" s="566"/>
      <c r="L175" s="567"/>
      <c r="N175" s="95"/>
    </row>
    <row r="176" spans="1:14" s="30" customFormat="1" ht="13" outlineLevel="1">
      <c r="A176" s="109"/>
      <c r="B176" s="1162" t="s">
        <v>548</v>
      </c>
      <c r="C176" s="1163"/>
      <c r="D176" s="400" t="s">
        <v>469</v>
      </c>
      <c r="E176" s="401" t="s">
        <v>88</v>
      </c>
      <c r="F176" s="469"/>
      <c r="G176" s="402"/>
      <c r="H176" s="402"/>
      <c r="I176" s="403"/>
      <c r="J176" s="403"/>
      <c r="K176" s="557"/>
      <c r="L176" s="1225">
        <f>+SUM(K176:K178)</f>
        <v>2500</v>
      </c>
      <c r="N176" s="95"/>
    </row>
    <row r="177" spans="1:14" s="30" customFormat="1" ht="13" outlineLevel="1">
      <c r="A177" s="109"/>
      <c r="B177" s="1164"/>
      <c r="C177" s="1160"/>
      <c r="D177" s="373" t="s">
        <v>470</v>
      </c>
      <c r="E177" s="370" t="s">
        <v>720</v>
      </c>
      <c r="F177" s="467"/>
      <c r="G177" s="375">
        <v>1</v>
      </c>
      <c r="H177" s="375" t="s">
        <v>364</v>
      </c>
      <c r="I177" s="376">
        <f>+VLOOKUP($E177,Supermarket!$E$10:$I$193,5,FALSE)</f>
        <v>2500</v>
      </c>
      <c r="J177" s="376">
        <f t="shared" ref="J177" si="26">+I177*G177</f>
        <v>2500</v>
      </c>
      <c r="K177" s="532">
        <f>+J177</f>
        <v>2500</v>
      </c>
      <c r="L177" s="1226"/>
      <c r="N177" s="95"/>
    </row>
    <row r="178" spans="1:14" s="30" customFormat="1" outlineLevel="1" thickBot="1">
      <c r="A178" s="109"/>
      <c r="B178" s="1165"/>
      <c r="C178" s="1166"/>
      <c r="D178" s="395" t="s">
        <v>471</v>
      </c>
      <c r="E178" s="396" t="s">
        <v>88</v>
      </c>
      <c r="F178" s="468"/>
      <c r="G178" s="397"/>
      <c r="H178" s="397"/>
      <c r="I178" s="398"/>
      <c r="J178" s="398"/>
      <c r="K178" s="551"/>
      <c r="L178" s="1227"/>
      <c r="N178" s="95"/>
    </row>
    <row r="179" spans="1:14" s="30" customFormat="1" ht="13" outlineLevel="1">
      <c r="A179" s="109"/>
      <c r="B179" s="1162" t="s">
        <v>549</v>
      </c>
      <c r="C179" s="1163"/>
      <c r="D179" s="400" t="s">
        <v>472</v>
      </c>
      <c r="E179" s="401" t="s">
        <v>88</v>
      </c>
      <c r="F179" s="469"/>
      <c r="G179" s="402"/>
      <c r="H179" s="402"/>
      <c r="I179" s="403"/>
      <c r="J179" s="403"/>
      <c r="K179" s="557"/>
      <c r="L179" s="1225">
        <f>+SUM(K179:K181)</f>
        <v>0</v>
      </c>
      <c r="N179" s="95"/>
    </row>
    <row r="180" spans="1:14" s="30" customFormat="1" ht="13" outlineLevel="1">
      <c r="A180" s="109"/>
      <c r="B180" s="1164"/>
      <c r="C180" s="1160"/>
      <c r="D180" s="373" t="s">
        <v>473</v>
      </c>
      <c r="E180" s="374" t="s">
        <v>88</v>
      </c>
      <c r="F180" s="467"/>
      <c r="G180" s="375"/>
      <c r="H180" s="375"/>
      <c r="I180" s="376"/>
      <c r="J180" s="376"/>
      <c r="K180" s="534"/>
      <c r="L180" s="1226"/>
      <c r="N180" s="95"/>
    </row>
    <row r="181" spans="1:14" s="30" customFormat="1" outlineLevel="1" thickBot="1">
      <c r="A181" s="109"/>
      <c r="B181" s="1165"/>
      <c r="C181" s="1166"/>
      <c r="D181" s="395" t="s">
        <v>474</v>
      </c>
      <c r="E181" s="396" t="s">
        <v>88</v>
      </c>
      <c r="F181" s="468"/>
      <c r="G181" s="397"/>
      <c r="H181" s="397"/>
      <c r="I181" s="398"/>
      <c r="J181" s="398"/>
      <c r="K181" s="551"/>
      <c r="L181" s="1227"/>
      <c r="N181" s="95"/>
    </row>
    <row r="182" spans="1:14" s="30" customFormat="1" thickBot="1">
      <c r="A182" s="109"/>
      <c r="B182" s="519">
        <v>3.5</v>
      </c>
      <c r="C182" s="1173" t="s">
        <v>46</v>
      </c>
      <c r="D182" s="1173"/>
      <c r="E182" s="1173"/>
      <c r="F182" s="520"/>
      <c r="G182" s="521"/>
      <c r="H182" s="521"/>
      <c r="I182" s="522"/>
      <c r="J182" s="522"/>
      <c r="K182" s="566"/>
      <c r="L182" s="567"/>
      <c r="N182" s="95"/>
    </row>
    <row r="183" spans="1:14" s="30" customFormat="1" ht="13" outlineLevel="1">
      <c r="A183" s="109"/>
      <c r="B183" s="1162" t="s">
        <v>550</v>
      </c>
      <c r="C183" s="1163"/>
      <c r="D183" s="400" t="s">
        <v>475</v>
      </c>
      <c r="E183" s="401" t="s">
        <v>332</v>
      </c>
      <c r="F183" s="469"/>
      <c r="G183" s="402">
        <v>1</v>
      </c>
      <c r="H183" s="402" t="s">
        <v>364</v>
      </c>
      <c r="I183" s="403">
        <f>+VLOOKUP($E183,Supermarket!$E$10:$I$193,5,FALSE)</f>
        <v>5000</v>
      </c>
      <c r="J183" s="403">
        <f>+I183*G183</f>
        <v>5000</v>
      </c>
      <c r="K183" s="549">
        <f>+J183</f>
        <v>5000</v>
      </c>
      <c r="L183" s="1225">
        <f>+SUM(K183:K185)</f>
        <v>16000</v>
      </c>
      <c r="N183" s="95"/>
    </row>
    <row r="184" spans="1:14" s="30" customFormat="1" ht="13" outlineLevel="1">
      <c r="A184" s="109"/>
      <c r="B184" s="1164"/>
      <c r="C184" s="1160"/>
      <c r="D184" s="373" t="s">
        <v>476</v>
      </c>
      <c r="E184" s="374" t="s">
        <v>88</v>
      </c>
      <c r="F184" s="467"/>
      <c r="G184" s="375"/>
      <c r="H184" s="375"/>
      <c r="I184" s="376"/>
      <c r="J184" s="376"/>
      <c r="K184" s="534"/>
      <c r="L184" s="1226"/>
      <c r="N184" s="95"/>
    </row>
    <row r="185" spans="1:14" s="30" customFormat="1" outlineLevel="1" thickBot="1">
      <c r="A185" s="109"/>
      <c r="B185" s="1165"/>
      <c r="C185" s="1166"/>
      <c r="D185" s="395" t="s">
        <v>477</v>
      </c>
      <c r="E185" s="439" t="s">
        <v>721</v>
      </c>
      <c r="F185" s="468" t="s">
        <v>334</v>
      </c>
      <c r="G185" s="397">
        <v>100</v>
      </c>
      <c r="H185" s="397" t="s">
        <v>360</v>
      </c>
      <c r="I185" s="398">
        <f>+VLOOKUP($E185,Supermarket!$E$10:$I$193,5,FALSE)</f>
        <v>110</v>
      </c>
      <c r="J185" s="398">
        <f t="shared" ref="J185:J186" si="27">+I185*G185</f>
        <v>11000</v>
      </c>
      <c r="K185" s="548">
        <f t="shared" ref="K185:K186" si="28">+J185</f>
        <v>11000</v>
      </c>
      <c r="L185" s="1227"/>
      <c r="N185" s="95"/>
    </row>
    <row r="186" spans="1:14" s="30" customFormat="1" ht="13" outlineLevel="1">
      <c r="A186" s="109"/>
      <c r="B186" s="1162" t="s">
        <v>551</v>
      </c>
      <c r="C186" s="1163"/>
      <c r="D186" s="400" t="s">
        <v>478</v>
      </c>
      <c r="E186" s="392" t="s">
        <v>721</v>
      </c>
      <c r="F186" s="469" t="s">
        <v>333</v>
      </c>
      <c r="G186" s="402">
        <v>100</v>
      </c>
      <c r="H186" s="402" t="s">
        <v>360</v>
      </c>
      <c r="I186" s="403">
        <f>+VLOOKUP($E186,Supermarket!$E$10:$I$193,5,FALSE)</f>
        <v>110</v>
      </c>
      <c r="J186" s="403">
        <f t="shared" si="27"/>
        <v>11000</v>
      </c>
      <c r="K186" s="549">
        <f t="shared" si="28"/>
        <v>11000</v>
      </c>
      <c r="L186" s="1225">
        <f>+SUM(K186:K188)</f>
        <v>11000</v>
      </c>
      <c r="N186" s="95"/>
    </row>
    <row r="187" spans="1:14" s="30" customFormat="1" ht="13" outlineLevel="1">
      <c r="A187" s="109"/>
      <c r="B187" s="1164"/>
      <c r="C187" s="1160"/>
      <c r="D187" s="373" t="s">
        <v>479</v>
      </c>
      <c r="E187" s="374" t="s">
        <v>88</v>
      </c>
      <c r="F187" s="467"/>
      <c r="G187" s="375"/>
      <c r="H187" s="375"/>
      <c r="I187" s="376"/>
      <c r="J187" s="376"/>
      <c r="K187" s="534"/>
      <c r="L187" s="1226"/>
      <c r="N187" s="95"/>
    </row>
    <row r="188" spans="1:14" s="30" customFormat="1" outlineLevel="1" thickBot="1">
      <c r="A188" s="109"/>
      <c r="B188" s="1165"/>
      <c r="C188" s="1166"/>
      <c r="D188" s="395" t="s">
        <v>480</v>
      </c>
      <c r="E188" s="396" t="s">
        <v>88</v>
      </c>
      <c r="F188" s="468"/>
      <c r="G188" s="397"/>
      <c r="H188" s="397"/>
      <c r="I188" s="398"/>
      <c r="J188" s="398"/>
      <c r="K188" s="551"/>
      <c r="L188" s="1227"/>
      <c r="N188" s="95"/>
    </row>
    <row r="189" spans="1:14" s="30" customFormat="1" thickBot="1">
      <c r="A189" s="109"/>
      <c r="B189" s="1215" t="s">
        <v>54</v>
      </c>
      <c r="C189" s="1216"/>
      <c r="D189" s="1216"/>
      <c r="E189" s="1216"/>
      <c r="F189" s="520"/>
      <c r="G189" s="521"/>
      <c r="H189" s="521"/>
      <c r="I189" s="522"/>
      <c r="J189" s="522"/>
      <c r="K189" s="566"/>
      <c r="L189" s="567"/>
      <c r="N189" s="95"/>
    </row>
    <row r="190" spans="1:14" s="30" customFormat="1" thickBot="1">
      <c r="A190" s="109"/>
      <c r="B190" s="519">
        <v>3.6</v>
      </c>
      <c r="C190" s="1173" t="s">
        <v>47</v>
      </c>
      <c r="D190" s="1173"/>
      <c r="E190" s="1173"/>
      <c r="F190" s="520"/>
      <c r="G190" s="521"/>
      <c r="H190" s="521"/>
      <c r="I190" s="522"/>
      <c r="J190" s="522"/>
      <c r="K190" s="566"/>
      <c r="L190" s="567"/>
      <c r="N190" s="95"/>
    </row>
    <row r="191" spans="1:14" s="30" customFormat="1" ht="13" outlineLevel="1">
      <c r="A191" s="109"/>
      <c r="B191" s="1162" t="s">
        <v>552</v>
      </c>
      <c r="C191" s="1163"/>
      <c r="D191" s="1246" t="s">
        <v>481</v>
      </c>
      <c r="E191" s="401" t="s">
        <v>722</v>
      </c>
      <c r="F191" s="469"/>
      <c r="G191" s="402">
        <v>4000</v>
      </c>
      <c r="H191" s="402" t="s">
        <v>95</v>
      </c>
      <c r="I191" s="403">
        <f>+VLOOKUP($E191,Supermarket!$E$10:$I$193,5,FALSE)</f>
        <v>10</v>
      </c>
      <c r="J191" s="403">
        <f t="shared" ref="J191:J192" si="29">+I191*G191</f>
        <v>40000</v>
      </c>
      <c r="K191" s="1186">
        <f>+SUM(J191:J192)</f>
        <v>42600</v>
      </c>
      <c r="L191" s="1225">
        <f>+SUM(K191:K194)</f>
        <v>42600</v>
      </c>
      <c r="N191" s="95"/>
    </row>
    <row r="192" spans="1:14" s="30" customFormat="1" ht="13" outlineLevel="1">
      <c r="A192" s="109"/>
      <c r="B192" s="1164"/>
      <c r="C192" s="1160"/>
      <c r="D192" s="1247"/>
      <c r="E192" s="374" t="s">
        <v>335</v>
      </c>
      <c r="F192" s="467"/>
      <c r="G192" s="375">
        <v>1</v>
      </c>
      <c r="H192" s="375" t="s">
        <v>364</v>
      </c>
      <c r="I192" s="376">
        <f>+VLOOKUP($E192,Supermarket!$E$10:$I$193,5,FALSE)</f>
        <v>2600</v>
      </c>
      <c r="J192" s="376">
        <f t="shared" si="29"/>
        <v>2600</v>
      </c>
      <c r="K192" s="1180"/>
      <c r="L192" s="1226"/>
      <c r="N192" s="95"/>
    </row>
    <row r="193" spans="1:14" s="30" customFormat="1" ht="13" outlineLevel="1">
      <c r="A193" s="109"/>
      <c r="B193" s="1164"/>
      <c r="C193" s="1160"/>
      <c r="D193" s="373" t="s">
        <v>482</v>
      </c>
      <c r="E193" s="374" t="s">
        <v>88</v>
      </c>
      <c r="F193" s="467"/>
      <c r="G193" s="375"/>
      <c r="H193" s="375"/>
      <c r="I193" s="376"/>
      <c r="J193" s="376"/>
      <c r="K193" s="534"/>
      <c r="L193" s="1226"/>
      <c r="N193" s="95"/>
    </row>
    <row r="194" spans="1:14" s="30" customFormat="1" outlineLevel="1" thickBot="1">
      <c r="A194" s="109"/>
      <c r="B194" s="1165"/>
      <c r="C194" s="1166"/>
      <c r="D194" s="395" t="s">
        <v>483</v>
      </c>
      <c r="E194" s="396" t="s">
        <v>88</v>
      </c>
      <c r="F194" s="468"/>
      <c r="G194" s="397"/>
      <c r="H194" s="397"/>
      <c r="I194" s="398"/>
      <c r="J194" s="398"/>
      <c r="K194" s="551"/>
      <c r="L194" s="1227"/>
      <c r="N194" s="95"/>
    </row>
    <row r="195" spans="1:14" s="30" customFormat="1" thickBot="1">
      <c r="A195" s="109"/>
      <c r="B195" s="519">
        <v>3.7</v>
      </c>
      <c r="C195" s="1173" t="s">
        <v>48</v>
      </c>
      <c r="D195" s="1173"/>
      <c r="E195" s="1173"/>
      <c r="F195" s="520"/>
      <c r="G195" s="521"/>
      <c r="H195" s="521"/>
      <c r="I195" s="522"/>
      <c r="J195" s="522"/>
      <c r="K195" s="566"/>
      <c r="L195" s="567"/>
      <c r="N195" s="95"/>
    </row>
    <row r="196" spans="1:14" s="30" customFormat="1" ht="13">
      <c r="A196" s="109"/>
      <c r="B196" s="109"/>
      <c r="C196" s="229"/>
      <c r="D196" s="109"/>
      <c r="E196" s="109"/>
      <c r="F196" s="582"/>
      <c r="G196" s="120"/>
      <c r="H196" s="120"/>
      <c r="I196" s="109"/>
      <c r="J196" s="109"/>
      <c r="K196" s="226"/>
      <c r="L196" s="236"/>
      <c r="N196" s="95"/>
    </row>
    <row r="197" spans="1:14" s="30" customFormat="1" ht="13">
      <c r="A197" s="109"/>
      <c r="B197" s="109"/>
      <c r="C197" s="229"/>
      <c r="D197" s="109"/>
      <c r="E197" s="109"/>
      <c r="F197" s="582"/>
      <c r="G197" s="120"/>
      <c r="H197" s="120"/>
      <c r="I197" s="109"/>
      <c r="J197" s="109"/>
      <c r="K197" s="226"/>
      <c r="L197" s="236"/>
      <c r="N197" s="95"/>
    </row>
    <row r="198" spans="1:14" s="30" customFormat="1" ht="13">
      <c r="A198" s="109"/>
      <c r="B198" s="109"/>
      <c r="C198" s="229"/>
      <c r="D198" s="109"/>
      <c r="E198" s="109"/>
      <c r="F198" s="582"/>
      <c r="G198" s="120"/>
      <c r="H198" s="120"/>
      <c r="I198" s="109"/>
      <c r="J198" s="109"/>
      <c r="K198" s="226"/>
      <c r="L198" s="236"/>
      <c r="N198" s="95"/>
    </row>
    <row r="199" spans="1:14" s="30" customFormat="1" ht="13">
      <c r="C199" s="88"/>
      <c r="F199" s="583"/>
      <c r="G199" s="89"/>
      <c r="H199" s="89"/>
      <c r="K199" s="107"/>
      <c r="L199" s="105"/>
      <c r="N199" s="95"/>
    </row>
    <row r="200" spans="1:14">
      <c r="F200" s="584"/>
    </row>
    <row r="201" spans="1:14">
      <c r="F201" s="584"/>
    </row>
    <row r="202" spans="1:14">
      <c r="F202" s="584"/>
    </row>
    <row r="203" spans="1:14">
      <c r="F203" s="584"/>
    </row>
    <row r="204" spans="1:14">
      <c r="F204" s="584"/>
    </row>
    <row r="205" spans="1:14">
      <c r="F205" s="584"/>
    </row>
  </sheetData>
  <mergeCells count="154">
    <mergeCell ref="B111:C115"/>
    <mergeCell ref="D111:D113"/>
    <mergeCell ref="D125:D127"/>
    <mergeCell ref="C130:E130"/>
    <mergeCell ref="B64:C66"/>
    <mergeCell ref="B68:C74"/>
    <mergeCell ref="D70:D74"/>
    <mergeCell ref="B75:C81"/>
    <mergeCell ref="D77:D81"/>
    <mergeCell ref="C67:E67"/>
    <mergeCell ref="C96:E96"/>
    <mergeCell ref="C105:E105"/>
    <mergeCell ref="C116:E116"/>
    <mergeCell ref="B82:C88"/>
    <mergeCell ref="K49:K51"/>
    <mergeCell ref="K70:K74"/>
    <mergeCell ref="K77:K81"/>
    <mergeCell ref="K84:K88"/>
    <mergeCell ref="K91:K95"/>
    <mergeCell ref="D100:D101"/>
    <mergeCell ref="B106:C110"/>
    <mergeCell ref="D106:D108"/>
    <mergeCell ref="C63:E63"/>
    <mergeCell ref="C56:E56"/>
    <mergeCell ref="C195:E195"/>
    <mergeCell ref="C142:E142"/>
    <mergeCell ref="C147:E147"/>
    <mergeCell ref="C160:E160"/>
    <mergeCell ref="C175:E175"/>
    <mergeCell ref="C182:E182"/>
    <mergeCell ref="B148:C152"/>
    <mergeCell ref="D148:D150"/>
    <mergeCell ref="B153:C156"/>
    <mergeCell ref="D153:D154"/>
    <mergeCell ref="B157:C159"/>
    <mergeCell ref="B161:C165"/>
    <mergeCell ref="D161:D163"/>
    <mergeCell ref="B179:C181"/>
    <mergeCell ref="B183:C185"/>
    <mergeCell ref="B186:C188"/>
    <mergeCell ref="B191:C194"/>
    <mergeCell ref="D191:D192"/>
    <mergeCell ref="B166:C169"/>
    <mergeCell ref="C190:E190"/>
    <mergeCell ref="D166:D167"/>
    <mergeCell ref="B170:C174"/>
    <mergeCell ref="D170:D172"/>
    <mergeCell ref="B176:C178"/>
    <mergeCell ref="B47:C47"/>
    <mergeCell ref="B49:C51"/>
    <mergeCell ref="B53:C55"/>
    <mergeCell ref="B57:C62"/>
    <mergeCell ref="D57:D59"/>
    <mergeCell ref="D60:D61"/>
    <mergeCell ref="A6:D6"/>
    <mergeCell ref="B10:C15"/>
    <mergeCell ref="D10:D13"/>
    <mergeCell ref="B16:C18"/>
    <mergeCell ref="B19:C21"/>
    <mergeCell ref="B22:C26"/>
    <mergeCell ref="D22:D24"/>
    <mergeCell ref="B28:C32"/>
    <mergeCell ref="D28:D30"/>
    <mergeCell ref="B33:C36"/>
    <mergeCell ref="D33:D34"/>
    <mergeCell ref="B37:C41"/>
    <mergeCell ref="D38:D40"/>
    <mergeCell ref="B42:C46"/>
    <mergeCell ref="D43:D45"/>
    <mergeCell ref="K111:K113"/>
    <mergeCell ref="D84:D88"/>
    <mergeCell ref="B89:C95"/>
    <mergeCell ref="D91:D95"/>
    <mergeCell ref="B97:C99"/>
    <mergeCell ref="B100:C103"/>
    <mergeCell ref="K100:K101"/>
    <mergeCell ref="A1:D2"/>
    <mergeCell ref="E1:E2"/>
    <mergeCell ref="A3:D3"/>
    <mergeCell ref="A4:D4"/>
    <mergeCell ref="A5:D5"/>
    <mergeCell ref="K106:K108"/>
    <mergeCell ref="K10:K13"/>
    <mergeCell ref="K22:K24"/>
    <mergeCell ref="K28:K30"/>
    <mergeCell ref="K33:K34"/>
    <mergeCell ref="K38:K40"/>
    <mergeCell ref="K43:K45"/>
    <mergeCell ref="K57:K59"/>
    <mergeCell ref="K60:K61"/>
    <mergeCell ref="C27:E27"/>
    <mergeCell ref="C48:E48"/>
    <mergeCell ref="C52:E52"/>
    <mergeCell ref="B143:C146"/>
    <mergeCell ref="D143:D144"/>
    <mergeCell ref="B117:C120"/>
    <mergeCell ref="D119:D120"/>
    <mergeCell ref="B121:C124"/>
    <mergeCell ref="D123:D124"/>
    <mergeCell ref="B125:C129"/>
    <mergeCell ref="K191:K192"/>
    <mergeCell ref="K138:K140"/>
    <mergeCell ref="K143:K144"/>
    <mergeCell ref="K148:K150"/>
    <mergeCell ref="K153:K154"/>
    <mergeCell ref="K161:K163"/>
    <mergeCell ref="K119:K120"/>
    <mergeCell ref="K123:K124"/>
    <mergeCell ref="K125:K127"/>
    <mergeCell ref="K133:K135"/>
    <mergeCell ref="K166:K167"/>
    <mergeCell ref="K170:K172"/>
    <mergeCell ref="B189:E189"/>
    <mergeCell ref="B131:C135"/>
    <mergeCell ref="D133:D135"/>
    <mergeCell ref="B136:C140"/>
    <mergeCell ref="D138:D140"/>
    <mergeCell ref="L10:L15"/>
    <mergeCell ref="L16:L18"/>
    <mergeCell ref="L19:L21"/>
    <mergeCell ref="L22:L26"/>
    <mergeCell ref="L28:L32"/>
    <mergeCell ref="L33:L36"/>
    <mergeCell ref="L37:L41"/>
    <mergeCell ref="L42:L46"/>
    <mergeCell ref="L49:L51"/>
    <mergeCell ref="L53:L55"/>
    <mergeCell ref="L57:L62"/>
    <mergeCell ref="L64:L66"/>
    <mergeCell ref="L68:L74"/>
    <mergeCell ref="L75:L81"/>
    <mergeCell ref="L82:L88"/>
    <mergeCell ref="L89:L95"/>
    <mergeCell ref="L97:L99"/>
    <mergeCell ref="L100:L103"/>
    <mergeCell ref="L106:L110"/>
    <mergeCell ref="L111:L115"/>
    <mergeCell ref="L117:L120"/>
    <mergeCell ref="L121:L124"/>
    <mergeCell ref="L125:L129"/>
    <mergeCell ref="L131:L135"/>
    <mergeCell ref="L136:L140"/>
    <mergeCell ref="L143:L146"/>
    <mergeCell ref="L148:L152"/>
    <mergeCell ref="L191:L194"/>
    <mergeCell ref="L153:L156"/>
    <mergeCell ref="L157:L159"/>
    <mergeCell ref="L161:L165"/>
    <mergeCell ref="L166:L169"/>
    <mergeCell ref="L170:L174"/>
    <mergeCell ref="L176:L178"/>
    <mergeCell ref="L179:L181"/>
    <mergeCell ref="L183:L185"/>
    <mergeCell ref="L186:L188"/>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theme="4" tint="0.39997558519241921"/>
  </sheetPr>
  <dimension ref="A1:N205"/>
  <sheetViews>
    <sheetView workbookViewId="0">
      <selection sqref="A1:D2"/>
    </sheetView>
  </sheetViews>
  <sheetFormatPr baseColWidth="10" defaultColWidth="8.83203125" defaultRowHeight="14" outlineLevelRow="1" x14ac:dyDescent="0"/>
  <cols>
    <col min="1" max="4" width="8.83203125" style="232"/>
    <col min="5" max="5" width="76.83203125" style="232" bestFit="1" customWidth="1"/>
    <col min="6" max="6" width="25.6640625" style="232" customWidth="1"/>
    <col min="7" max="7" width="9" style="232" bestFit="1" customWidth="1"/>
    <col min="8" max="8" width="5" style="245" bestFit="1" customWidth="1"/>
    <col min="9" max="10" width="15.6640625" style="232" customWidth="1"/>
    <col min="11" max="11" width="15.6640625" style="238" customWidth="1"/>
    <col min="12" max="12" width="20.6640625" style="234" customWidth="1"/>
    <col min="13" max="13" width="8.83203125" style="232"/>
    <col min="14" max="14" width="13.1640625" style="232" bestFit="1" customWidth="1"/>
    <col min="15" max="15" width="18.5" style="232" bestFit="1" customWidth="1"/>
    <col min="16" max="16384" width="8.83203125" style="232"/>
  </cols>
  <sheetData>
    <row r="1" spans="1:12">
      <c r="A1" s="1258" t="s">
        <v>62</v>
      </c>
      <c r="B1" s="1258"/>
      <c r="C1" s="1258"/>
      <c r="D1" s="1258"/>
      <c r="E1" s="1259" t="s">
        <v>488</v>
      </c>
    </row>
    <row r="2" spans="1:12">
      <c r="A2" s="1258"/>
      <c r="B2" s="1258"/>
      <c r="C2" s="1258"/>
      <c r="D2" s="1258"/>
      <c r="E2" s="1259"/>
    </row>
    <row r="3" spans="1:12">
      <c r="A3" s="1257" t="s">
        <v>64</v>
      </c>
      <c r="B3" s="1257"/>
      <c r="C3" s="1257"/>
      <c r="D3" s="1257"/>
      <c r="E3" s="264">
        <v>4000</v>
      </c>
    </row>
    <row r="4" spans="1:12">
      <c r="A4" s="1257" t="s">
        <v>359</v>
      </c>
      <c r="B4" s="1257"/>
      <c r="C4" s="1257"/>
      <c r="D4" s="1257"/>
      <c r="E4" s="265">
        <v>150</v>
      </c>
    </row>
    <row r="5" spans="1:12" ht="15" customHeight="1">
      <c r="A5" s="1257" t="s">
        <v>491</v>
      </c>
      <c r="B5" s="1257"/>
      <c r="C5" s="1257"/>
      <c r="D5" s="1257"/>
      <c r="E5" s="265">
        <v>2</v>
      </c>
    </row>
    <row r="6" spans="1:12" ht="15" thickBot="1">
      <c r="A6" s="1257" t="s">
        <v>361</v>
      </c>
      <c r="B6" s="1257"/>
      <c r="C6" s="1257"/>
      <c r="D6" s="1257"/>
      <c r="E6" s="265">
        <v>130</v>
      </c>
    </row>
    <row r="7" spans="1:12" ht="27" thickBot="1">
      <c r="F7" s="576" t="s">
        <v>363</v>
      </c>
      <c r="G7" s="577" t="s">
        <v>336</v>
      </c>
      <c r="H7" s="577" t="s">
        <v>337</v>
      </c>
      <c r="I7" s="578" t="s">
        <v>365</v>
      </c>
      <c r="J7" s="578" t="s">
        <v>366</v>
      </c>
      <c r="K7" s="482" t="s">
        <v>560</v>
      </c>
      <c r="L7" s="579" t="s">
        <v>368</v>
      </c>
    </row>
    <row r="8" spans="1:12" s="109" customFormat="1" thickBot="1">
      <c r="B8" s="409">
        <v>1</v>
      </c>
      <c r="C8" s="410" t="s">
        <v>28</v>
      </c>
      <c r="D8" s="411"/>
      <c r="E8" s="412"/>
      <c r="F8" s="413"/>
      <c r="G8" s="413"/>
      <c r="H8" s="413"/>
      <c r="I8" s="413"/>
      <c r="J8" s="413"/>
      <c r="K8" s="414"/>
      <c r="L8" s="574"/>
    </row>
    <row r="9" spans="1:12" s="109" customFormat="1" thickBot="1">
      <c r="B9" s="442">
        <v>1.1000000000000001</v>
      </c>
      <c r="C9" s="454" t="s">
        <v>0</v>
      </c>
      <c r="D9" s="443"/>
      <c r="E9" s="454"/>
      <c r="F9" s="444"/>
      <c r="G9" s="444"/>
      <c r="H9" s="444"/>
      <c r="I9" s="444"/>
      <c r="J9" s="444"/>
      <c r="K9" s="445"/>
      <c r="L9" s="575"/>
    </row>
    <row r="10" spans="1:12" s="109" customFormat="1" ht="13" outlineLevel="1">
      <c r="B10" s="1162" t="s">
        <v>515</v>
      </c>
      <c r="C10" s="1163"/>
      <c r="D10" s="1248" t="s">
        <v>370</v>
      </c>
      <c r="E10" s="401" t="s">
        <v>352</v>
      </c>
      <c r="F10" s="469"/>
      <c r="G10" s="402">
        <v>100</v>
      </c>
      <c r="H10" s="402" t="s">
        <v>360</v>
      </c>
      <c r="I10" s="403">
        <f>+VLOOKUP(E10,'Line items'!$B$3:$D$117,3,FALSE)</f>
        <v>60</v>
      </c>
      <c r="J10" s="403">
        <f>+I10*G10</f>
        <v>6000</v>
      </c>
      <c r="K10" s="1217">
        <f>+SUM(J10:J13)</f>
        <v>47500</v>
      </c>
      <c r="L10" s="1225">
        <f>+SUM(K10:K15)</f>
        <v>63500</v>
      </c>
    </row>
    <row r="11" spans="1:12" s="109" customFormat="1" ht="13" outlineLevel="1">
      <c r="B11" s="1164"/>
      <c r="C11" s="1160"/>
      <c r="D11" s="1249"/>
      <c r="E11" s="374" t="s">
        <v>649</v>
      </c>
      <c r="F11" s="467"/>
      <c r="G11" s="375">
        <v>100</v>
      </c>
      <c r="H11" s="375" t="s">
        <v>360</v>
      </c>
      <c r="I11" s="376">
        <f>+VLOOKUP(E11,'Line items'!$B$3:$D$117,3,FALSE)</f>
        <v>70</v>
      </c>
      <c r="J11" s="376">
        <f t="shared" ref="J11:J14" si="0">+I11*G11</f>
        <v>7000</v>
      </c>
      <c r="K11" s="1218"/>
      <c r="L11" s="1226"/>
    </row>
    <row r="12" spans="1:12" s="109" customFormat="1" ht="13" outlineLevel="1">
      <c r="B12" s="1164"/>
      <c r="C12" s="1160"/>
      <c r="D12" s="1249"/>
      <c r="E12" s="370" t="s">
        <v>759</v>
      </c>
      <c r="F12" s="467"/>
      <c r="G12" s="371">
        <v>160</v>
      </c>
      <c r="H12" s="371" t="s">
        <v>758</v>
      </c>
      <c r="I12" s="372">
        <f>+VLOOKUP(E12,'Line items'!$B$3:$D$102,3,FALSE)</f>
        <v>200</v>
      </c>
      <c r="J12" s="372">
        <f>+I12*G12</f>
        <v>32000</v>
      </c>
      <c r="K12" s="1218"/>
      <c r="L12" s="1226"/>
    </row>
    <row r="13" spans="1:12" s="109" customFormat="1" ht="13" outlineLevel="1">
      <c r="B13" s="1164"/>
      <c r="C13" s="1160"/>
      <c r="D13" s="1249"/>
      <c r="E13" s="370" t="s">
        <v>653</v>
      </c>
      <c r="F13" s="467"/>
      <c r="G13" s="375">
        <v>1</v>
      </c>
      <c r="H13" s="375" t="s">
        <v>364</v>
      </c>
      <c r="I13" s="376">
        <f>+VLOOKUP(E13,'Line items'!$B$3:$D$117,3,FALSE)</f>
        <v>2500</v>
      </c>
      <c r="J13" s="376">
        <f t="shared" si="0"/>
        <v>2500</v>
      </c>
      <c r="K13" s="1218"/>
      <c r="L13" s="1226"/>
    </row>
    <row r="14" spans="1:12" s="109" customFormat="1" ht="13" outlineLevel="1">
      <c r="B14" s="1164"/>
      <c r="C14" s="1160"/>
      <c r="D14" s="373" t="s">
        <v>369</v>
      </c>
      <c r="E14" s="374" t="s">
        <v>557</v>
      </c>
      <c r="F14" s="467"/>
      <c r="G14" s="375">
        <v>2</v>
      </c>
      <c r="H14" s="375" t="s">
        <v>364</v>
      </c>
      <c r="I14" s="376">
        <f>+VLOOKUP(E14,'Line items'!$B$3:$D$117,3,FALSE)</f>
        <v>8000</v>
      </c>
      <c r="J14" s="376">
        <f t="shared" si="0"/>
        <v>16000</v>
      </c>
      <c r="K14" s="532">
        <f>+J14</f>
        <v>16000</v>
      </c>
      <c r="L14" s="1226"/>
    </row>
    <row r="15" spans="1:12" s="109" customFormat="1" outlineLevel="1" thickBot="1">
      <c r="B15" s="1165"/>
      <c r="C15" s="1166"/>
      <c r="D15" s="395" t="s">
        <v>371</v>
      </c>
      <c r="E15" s="396" t="s">
        <v>301</v>
      </c>
      <c r="F15" s="468"/>
      <c r="G15" s="397"/>
      <c r="H15" s="397"/>
      <c r="I15" s="398"/>
      <c r="J15" s="398"/>
      <c r="K15" s="548"/>
      <c r="L15" s="1227"/>
    </row>
    <row r="16" spans="1:12" s="109" customFormat="1" ht="13" outlineLevel="1">
      <c r="B16" s="1162" t="s">
        <v>516</v>
      </c>
      <c r="C16" s="1163"/>
      <c r="D16" s="400" t="s">
        <v>380</v>
      </c>
      <c r="E16" s="401" t="s">
        <v>302</v>
      </c>
      <c r="F16" s="469"/>
      <c r="G16" s="402"/>
      <c r="H16" s="402"/>
      <c r="I16" s="403"/>
      <c r="J16" s="403"/>
      <c r="K16" s="549"/>
      <c r="L16" s="1229">
        <f>+SUM(K16:K18)</f>
        <v>0</v>
      </c>
    </row>
    <row r="17" spans="2:12" s="109" customFormat="1" ht="13" outlineLevel="1">
      <c r="B17" s="1164"/>
      <c r="C17" s="1160"/>
      <c r="D17" s="373" t="s">
        <v>373</v>
      </c>
      <c r="E17" s="374" t="s">
        <v>88</v>
      </c>
      <c r="F17" s="467"/>
      <c r="G17" s="375"/>
      <c r="H17" s="375"/>
      <c r="I17" s="376"/>
      <c r="J17" s="376"/>
      <c r="K17" s="532"/>
      <c r="L17" s="1230"/>
    </row>
    <row r="18" spans="2:12" s="109" customFormat="1" outlineLevel="1" thickBot="1">
      <c r="B18" s="1165"/>
      <c r="C18" s="1166"/>
      <c r="D18" s="395" t="s">
        <v>372</v>
      </c>
      <c r="E18" s="396" t="s">
        <v>88</v>
      </c>
      <c r="F18" s="468"/>
      <c r="G18" s="397"/>
      <c r="H18" s="397"/>
      <c r="I18" s="398"/>
      <c r="J18" s="398"/>
      <c r="K18" s="548"/>
      <c r="L18" s="1231"/>
    </row>
    <row r="19" spans="2:12" s="109" customFormat="1" ht="13" outlineLevel="1">
      <c r="B19" s="1162" t="s">
        <v>517</v>
      </c>
      <c r="C19" s="1163"/>
      <c r="D19" s="405" t="s">
        <v>374</v>
      </c>
      <c r="E19" s="401" t="s">
        <v>88</v>
      </c>
      <c r="F19" s="469"/>
      <c r="G19" s="402"/>
      <c r="H19" s="402"/>
      <c r="I19" s="403"/>
      <c r="J19" s="403"/>
      <c r="K19" s="549"/>
      <c r="L19" s="1225">
        <f>+SUM(K19:K21)</f>
        <v>0</v>
      </c>
    </row>
    <row r="20" spans="2:12" s="109" customFormat="1" ht="13" outlineLevel="1">
      <c r="B20" s="1164"/>
      <c r="C20" s="1160"/>
      <c r="D20" s="378" t="s">
        <v>375</v>
      </c>
      <c r="E20" s="374" t="s">
        <v>88</v>
      </c>
      <c r="F20" s="467"/>
      <c r="G20" s="375"/>
      <c r="H20" s="375"/>
      <c r="I20" s="376"/>
      <c r="J20" s="376"/>
      <c r="K20" s="532"/>
      <c r="L20" s="1226"/>
    </row>
    <row r="21" spans="2:12" s="109" customFormat="1" outlineLevel="1" thickBot="1">
      <c r="B21" s="1165"/>
      <c r="C21" s="1166"/>
      <c r="D21" s="406" t="s">
        <v>376</v>
      </c>
      <c r="E21" s="396" t="s">
        <v>88</v>
      </c>
      <c r="F21" s="468"/>
      <c r="G21" s="397"/>
      <c r="H21" s="397"/>
      <c r="I21" s="398"/>
      <c r="J21" s="398"/>
      <c r="K21" s="548"/>
      <c r="L21" s="1227"/>
    </row>
    <row r="22" spans="2:12" s="109" customFormat="1" ht="13" outlineLevel="1">
      <c r="B22" s="1162" t="s">
        <v>518</v>
      </c>
      <c r="C22" s="1163"/>
      <c r="D22" s="1248" t="s">
        <v>377</v>
      </c>
      <c r="E22" s="401" t="s">
        <v>305</v>
      </c>
      <c r="F22" s="469"/>
      <c r="G22" s="402">
        <v>1</v>
      </c>
      <c r="H22" s="402" t="s">
        <v>364</v>
      </c>
      <c r="I22" s="403">
        <f>+VLOOKUP(E22,'Line items'!$B$3:$D$117,3,FALSE)</f>
        <v>2500</v>
      </c>
      <c r="J22" s="403">
        <f t="shared" ref="J22:J26" si="1">+I22*G22</f>
        <v>2500</v>
      </c>
      <c r="K22" s="1217">
        <f>+SUM(J22:J24)</f>
        <v>12500</v>
      </c>
      <c r="L22" s="1225">
        <f>+SUM(K22:K26)</f>
        <v>44500</v>
      </c>
    </row>
    <row r="23" spans="2:12" s="109" customFormat="1" ht="13" outlineLevel="1">
      <c r="B23" s="1164"/>
      <c r="C23" s="1160"/>
      <c r="D23" s="1249"/>
      <c r="E23" s="374" t="s">
        <v>306</v>
      </c>
      <c r="F23" s="467"/>
      <c r="G23" s="375">
        <v>1</v>
      </c>
      <c r="H23" s="375" t="s">
        <v>364</v>
      </c>
      <c r="I23" s="376">
        <f>+VLOOKUP(E23,'Line items'!$B$3:$D$117,3,FALSE)</f>
        <v>10000</v>
      </c>
      <c r="J23" s="376">
        <f t="shared" si="1"/>
        <v>10000</v>
      </c>
      <c r="K23" s="1218"/>
      <c r="L23" s="1226"/>
    </row>
    <row r="24" spans="2:12" s="109" customFormat="1" ht="13" outlineLevel="1">
      <c r="B24" s="1164"/>
      <c r="C24" s="1160"/>
      <c r="D24" s="1249"/>
      <c r="E24" s="379" t="s">
        <v>307</v>
      </c>
      <c r="F24" s="467"/>
      <c r="G24" s="375"/>
      <c r="H24" s="375" t="s">
        <v>360</v>
      </c>
      <c r="I24" s="376"/>
      <c r="J24" s="376">
        <f t="shared" si="1"/>
        <v>0</v>
      </c>
      <c r="K24" s="1218"/>
      <c r="L24" s="1226"/>
    </row>
    <row r="25" spans="2:12" s="109" customFormat="1" ht="13" outlineLevel="1">
      <c r="B25" s="1164"/>
      <c r="C25" s="1160"/>
      <c r="D25" s="373" t="s">
        <v>378</v>
      </c>
      <c r="E25" s="370" t="s">
        <v>170</v>
      </c>
      <c r="F25" s="466"/>
      <c r="G25" s="371">
        <f>G12</f>
        <v>160</v>
      </c>
      <c r="H25" s="371" t="s">
        <v>758</v>
      </c>
      <c r="I25" s="376">
        <f>+VLOOKUP(E25,'Line items'!$B$3:$D$117,3,FALSE)</f>
        <v>200</v>
      </c>
      <c r="J25" s="372">
        <f t="shared" si="1"/>
        <v>32000</v>
      </c>
      <c r="K25" s="533">
        <f t="shared" ref="K25:K26" si="2">+J25</f>
        <v>32000</v>
      </c>
      <c r="L25" s="1226"/>
    </row>
    <row r="26" spans="2:12" s="109" customFormat="1" outlineLevel="1" thickBot="1">
      <c r="B26" s="1165"/>
      <c r="C26" s="1166"/>
      <c r="D26" s="395" t="s">
        <v>379</v>
      </c>
      <c r="E26" s="370" t="s">
        <v>170</v>
      </c>
      <c r="F26" s="477"/>
      <c r="G26" s="440">
        <v>0</v>
      </c>
      <c r="H26" s="440" t="s">
        <v>758</v>
      </c>
      <c r="I26" s="398">
        <f>+VLOOKUP(E26,'Line items'!$B$3:$D$117,3,FALSE)</f>
        <v>200</v>
      </c>
      <c r="J26" s="408">
        <f t="shared" si="1"/>
        <v>0</v>
      </c>
      <c r="K26" s="550">
        <f t="shared" si="2"/>
        <v>0</v>
      </c>
      <c r="L26" s="1227"/>
    </row>
    <row r="27" spans="2:12" s="109" customFormat="1" thickBot="1">
      <c r="B27" s="442">
        <v>1.2</v>
      </c>
      <c r="C27" s="1167" t="s">
        <v>4</v>
      </c>
      <c r="D27" s="1167"/>
      <c r="E27" s="1167"/>
      <c r="F27" s="464"/>
      <c r="G27" s="444"/>
      <c r="H27" s="444"/>
      <c r="I27" s="444"/>
      <c r="J27" s="444"/>
      <c r="K27" s="445"/>
      <c r="L27" s="446"/>
    </row>
    <row r="28" spans="2:12" s="109" customFormat="1" ht="13" outlineLevel="1">
      <c r="B28" s="1162" t="s">
        <v>519</v>
      </c>
      <c r="C28" s="1163"/>
      <c r="D28" s="1248" t="s">
        <v>381</v>
      </c>
      <c r="E28" s="392" t="s">
        <v>657</v>
      </c>
      <c r="F28" s="469"/>
      <c r="G28" s="402">
        <v>300</v>
      </c>
      <c r="H28" s="402" t="s">
        <v>360</v>
      </c>
      <c r="I28" s="403">
        <f>+VLOOKUP(E28,'Line items'!$B$3:$D$117,3,FALSE)</f>
        <v>80</v>
      </c>
      <c r="J28" s="403">
        <f t="shared" ref="J28:J30" si="3">+I28*G28</f>
        <v>24000</v>
      </c>
      <c r="K28" s="1217">
        <f>+SUM(J28:J30)</f>
        <v>94500</v>
      </c>
      <c r="L28" s="1225">
        <f>+SUM(K28:K32)</f>
        <v>94500</v>
      </c>
    </row>
    <row r="29" spans="2:12" s="109" customFormat="1" ht="13" outlineLevel="1">
      <c r="B29" s="1164"/>
      <c r="C29" s="1160"/>
      <c r="D29" s="1249"/>
      <c r="E29" s="374" t="s">
        <v>659</v>
      </c>
      <c r="F29" s="467"/>
      <c r="G29" s="375">
        <v>300</v>
      </c>
      <c r="H29" s="375" t="s">
        <v>360</v>
      </c>
      <c r="I29" s="376">
        <f>+VLOOKUP(E29,'Line items'!$B$3:$D$117,3,FALSE)</f>
        <v>210</v>
      </c>
      <c r="J29" s="376">
        <f t="shared" si="3"/>
        <v>63000</v>
      </c>
      <c r="K29" s="1218"/>
      <c r="L29" s="1226"/>
    </row>
    <row r="30" spans="2:12" s="109" customFormat="1" ht="13" outlineLevel="1">
      <c r="B30" s="1164"/>
      <c r="C30" s="1160"/>
      <c r="D30" s="1249"/>
      <c r="E30" s="370" t="s">
        <v>660</v>
      </c>
      <c r="F30" s="467"/>
      <c r="G30" s="375">
        <v>3</v>
      </c>
      <c r="H30" s="375" t="s">
        <v>364</v>
      </c>
      <c r="I30" s="376">
        <f>+VLOOKUP(E30,'Line items'!$B$3:$D$117,3,FALSE)</f>
        <v>2500</v>
      </c>
      <c r="J30" s="376">
        <f t="shared" si="3"/>
        <v>7500</v>
      </c>
      <c r="K30" s="1218"/>
      <c r="L30" s="1226"/>
    </row>
    <row r="31" spans="2:12" s="109" customFormat="1" ht="13" outlineLevel="1">
      <c r="B31" s="1164"/>
      <c r="C31" s="1160"/>
      <c r="D31" s="373" t="s">
        <v>382</v>
      </c>
      <c r="E31" s="374" t="s">
        <v>88</v>
      </c>
      <c r="F31" s="467"/>
      <c r="G31" s="375"/>
      <c r="H31" s="375"/>
      <c r="I31" s="376"/>
      <c r="J31" s="376"/>
      <c r="K31" s="534"/>
      <c r="L31" s="1226"/>
    </row>
    <row r="32" spans="2:12" s="109" customFormat="1" outlineLevel="1" thickBot="1">
      <c r="B32" s="1165"/>
      <c r="C32" s="1166"/>
      <c r="D32" s="395" t="s">
        <v>383</v>
      </c>
      <c r="E32" s="396" t="s">
        <v>301</v>
      </c>
      <c r="F32" s="468"/>
      <c r="G32" s="397"/>
      <c r="H32" s="397"/>
      <c r="I32" s="398"/>
      <c r="J32" s="398"/>
      <c r="K32" s="551"/>
      <c r="L32" s="1227"/>
    </row>
    <row r="33" spans="2:12" s="109" customFormat="1" ht="13" outlineLevel="1">
      <c r="B33" s="1162" t="s">
        <v>520</v>
      </c>
      <c r="C33" s="1163"/>
      <c r="D33" s="1248" t="s">
        <v>384</v>
      </c>
      <c r="E33" s="392" t="s">
        <v>657</v>
      </c>
      <c r="F33" s="469"/>
      <c r="G33" s="401">
        <v>300</v>
      </c>
      <c r="H33" s="402" t="s">
        <v>360</v>
      </c>
      <c r="I33" s="403">
        <f>+VLOOKUP(E33,'Line items'!$B$3:$D$117,3,FALSE)</f>
        <v>80</v>
      </c>
      <c r="J33" s="403">
        <f t="shared" ref="J33:J34" si="4">+I33*G33</f>
        <v>24000</v>
      </c>
      <c r="K33" s="1217">
        <f>+SUM(J33:J34)</f>
        <v>63000</v>
      </c>
      <c r="L33" s="1225">
        <f>+SUM(K33:K36)</f>
        <v>63000</v>
      </c>
    </row>
    <row r="34" spans="2:12" s="109" customFormat="1" ht="13" outlineLevel="1">
      <c r="B34" s="1164"/>
      <c r="C34" s="1160"/>
      <c r="D34" s="1249"/>
      <c r="E34" s="374" t="s">
        <v>661</v>
      </c>
      <c r="F34" s="467"/>
      <c r="G34" s="375">
        <v>300</v>
      </c>
      <c r="H34" s="375" t="s">
        <v>360</v>
      </c>
      <c r="I34" s="376">
        <f>+VLOOKUP(E34,'Line items'!$B$3:$D$117,3,FALSE)</f>
        <v>130</v>
      </c>
      <c r="J34" s="376">
        <f t="shared" si="4"/>
        <v>39000</v>
      </c>
      <c r="K34" s="1218"/>
      <c r="L34" s="1226"/>
    </row>
    <row r="35" spans="2:12" s="109" customFormat="1" ht="13" outlineLevel="1">
      <c r="B35" s="1164"/>
      <c r="C35" s="1160"/>
      <c r="D35" s="373" t="s">
        <v>385</v>
      </c>
      <c r="E35" s="374" t="s">
        <v>88</v>
      </c>
      <c r="F35" s="467"/>
      <c r="G35" s="375"/>
      <c r="H35" s="375"/>
      <c r="I35" s="376"/>
      <c r="J35" s="376"/>
      <c r="K35" s="534"/>
      <c r="L35" s="1226"/>
    </row>
    <row r="36" spans="2:12" s="109" customFormat="1" outlineLevel="1" thickBot="1">
      <c r="B36" s="1165"/>
      <c r="C36" s="1166"/>
      <c r="D36" s="395" t="s">
        <v>386</v>
      </c>
      <c r="E36" s="396" t="s">
        <v>301</v>
      </c>
      <c r="F36" s="468"/>
      <c r="G36" s="397"/>
      <c r="H36" s="397"/>
      <c r="I36" s="398"/>
      <c r="J36" s="398"/>
      <c r="K36" s="551"/>
      <c r="L36" s="1227"/>
    </row>
    <row r="37" spans="2:12" s="109" customFormat="1" ht="13" outlineLevel="1">
      <c r="B37" s="1162" t="s">
        <v>521</v>
      </c>
      <c r="C37" s="1163"/>
      <c r="D37" s="400" t="s">
        <v>387</v>
      </c>
      <c r="E37" s="422" t="s">
        <v>308</v>
      </c>
      <c r="F37" s="469"/>
      <c r="G37" s="402">
        <v>150</v>
      </c>
      <c r="H37" s="402" t="s">
        <v>360</v>
      </c>
      <c r="I37" s="403">
        <v>0</v>
      </c>
      <c r="J37" s="403">
        <f t="shared" ref="J37:J40" si="5">+I37*G37</f>
        <v>0</v>
      </c>
      <c r="K37" s="549">
        <f t="shared" ref="K37" si="6">+J37</f>
        <v>0</v>
      </c>
      <c r="L37" s="1225">
        <f>+SUM(K37:K41)</f>
        <v>67500</v>
      </c>
    </row>
    <row r="38" spans="2:12" s="109" customFormat="1" ht="13" outlineLevel="1">
      <c r="B38" s="1164"/>
      <c r="C38" s="1160"/>
      <c r="D38" s="1249" t="s">
        <v>388</v>
      </c>
      <c r="E38" s="374" t="s">
        <v>662</v>
      </c>
      <c r="F38" s="467"/>
      <c r="G38" s="375">
        <v>1</v>
      </c>
      <c r="H38" s="375" t="s">
        <v>364</v>
      </c>
      <c r="I38" s="376">
        <f>+VLOOKUP(E38,'Line items'!$B$3:$D$117,3,FALSE)</f>
        <v>30000</v>
      </c>
      <c r="J38" s="376">
        <f t="shared" si="5"/>
        <v>30000</v>
      </c>
      <c r="K38" s="1218">
        <f>+SUM(J38:J40)</f>
        <v>67500</v>
      </c>
      <c r="L38" s="1226"/>
    </row>
    <row r="39" spans="2:12" s="109" customFormat="1" ht="13" outlineLevel="1">
      <c r="B39" s="1164"/>
      <c r="C39" s="1160"/>
      <c r="D39" s="1249"/>
      <c r="E39" s="370" t="s">
        <v>663</v>
      </c>
      <c r="F39" s="467"/>
      <c r="G39" s="375">
        <v>150</v>
      </c>
      <c r="H39" s="375" t="s">
        <v>360</v>
      </c>
      <c r="I39" s="376">
        <f>+VLOOKUP(E39,'Line items'!$B$3:$D$117,3,FALSE)</f>
        <v>210</v>
      </c>
      <c r="J39" s="376">
        <f t="shared" si="5"/>
        <v>31500</v>
      </c>
      <c r="K39" s="1218"/>
      <c r="L39" s="1226"/>
    </row>
    <row r="40" spans="2:12" s="109" customFormat="1" ht="13" outlineLevel="1">
      <c r="B40" s="1164"/>
      <c r="C40" s="1160"/>
      <c r="D40" s="1249"/>
      <c r="E40" s="374" t="s">
        <v>309</v>
      </c>
      <c r="F40" s="467"/>
      <c r="G40" s="375">
        <v>150</v>
      </c>
      <c r="H40" s="375" t="s">
        <v>360</v>
      </c>
      <c r="I40" s="376">
        <f>+VLOOKUP(E40,'Line items'!$B$3:$D$117,3,FALSE)</f>
        <v>40</v>
      </c>
      <c r="J40" s="376">
        <f t="shared" si="5"/>
        <v>6000</v>
      </c>
      <c r="K40" s="1218"/>
      <c r="L40" s="1226"/>
    </row>
    <row r="41" spans="2:12" s="109" customFormat="1" outlineLevel="1" thickBot="1">
      <c r="B41" s="1165"/>
      <c r="C41" s="1166"/>
      <c r="D41" s="395" t="s">
        <v>389</v>
      </c>
      <c r="E41" s="396" t="s">
        <v>301</v>
      </c>
      <c r="F41" s="468"/>
      <c r="G41" s="397"/>
      <c r="H41" s="397"/>
      <c r="I41" s="398"/>
      <c r="J41" s="398"/>
      <c r="K41" s="548"/>
      <c r="L41" s="1227"/>
    </row>
    <row r="42" spans="2:12" s="109" customFormat="1" ht="13" outlineLevel="1">
      <c r="B42" s="1162" t="s">
        <v>522</v>
      </c>
      <c r="C42" s="1163"/>
      <c r="D42" s="400" t="s">
        <v>390</v>
      </c>
      <c r="E42" s="422" t="s">
        <v>308</v>
      </c>
      <c r="F42" s="469"/>
      <c r="G42" s="402">
        <v>150</v>
      </c>
      <c r="H42" s="402" t="s">
        <v>360</v>
      </c>
      <c r="I42" s="403">
        <v>0</v>
      </c>
      <c r="J42" s="403">
        <f t="shared" ref="J42:J45" si="7">+I42*G42</f>
        <v>0</v>
      </c>
      <c r="K42" s="549">
        <f t="shared" ref="K42" si="8">+J42</f>
        <v>0</v>
      </c>
      <c r="L42" s="1225">
        <f>+SUM(K42:K46)</f>
        <v>67500</v>
      </c>
    </row>
    <row r="43" spans="2:12" s="109" customFormat="1" ht="13" outlineLevel="1">
      <c r="B43" s="1164"/>
      <c r="C43" s="1160"/>
      <c r="D43" s="1249" t="s">
        <v>391</v>
      </c>
      <c r="E43" s="374" t="s">
        <v>662</v>
      </c>
      <c r="F43" s="467"/>
      <c r="G43" s="375">
        <v>1</v>
      </c>
      <c r="H43" s="375" t="s">
        <v>364</v>
      </c>
      <c r="I43" s="376">
        <f>+VLOOKUP(E43,'Line items'!$B$3:$D$117,3,FALSE)</f>
        <v>30000</v>
      </c>
      <c r="J43" s="376">
        <f t="shared" si="7"/>
        <v>30000</v>
      </c>
      <c r="K43" s="1218">
        <f>+SUM(J43:J45)</f>
        <v>67500</v>
      </c>
      <c r="L43" s="1226"/>
    </row>
    <row r="44" spans="2:12" s="109" customFormat="1" ht="13" outlineLevel="1">
      <c r="B44" s="1164"/>
      <c r="C44" s="1160"/>
      <c r="D44" s="1249"/>
      <c r="E44" s="370" t="s">
        <v>663</v>
      </c>
      <c r="F44" s="535"/>
      <c r="G44" s="375">
        <v>150</v>
      </c>
      <c r="H44" s="375" t="s">
        <v>360</v>
      </c>
      <c r="I44" s="376">
        <f>+VLOOKUP(E44,'Line items'!$B$3:$D$117,3,FALSE)</f>
        <v>210</v>
      </c>
      <c r="J44" s="376">
        <f t="shared" si="7"/>
        <v>31500</v>
      </c>
      <c r="K44" s="1218"/>
      <c r="L44" s="1226"/>
    </row>
    <row r="45" spans="2:12" s="109" customFormat="1" ht="13" outlineLevel="1">
      <c r="B45" s="1164"/>
      <c r="C45" s="1160"/>
      <c r="D45" s="1249"/>
      <c r="E45" s="374" t="s">
        <v>309</v>
      </c>
      <c r="F45" s="467"/>
      <c r="G45" s="375">
        <v>150</v>
      </c>
      <c r="H45" s="375" t="s">
        <v>360</v>
      </c>
      <c r="I45" s="376">
        <f>+VLOOKUP(E45,'Line items'!$B$3:$D$117,3,FALSE)</f>
        <v>40</v>
      </c>
      <c r="J45" s="376">
        <f t="shared" si="7"/>
        <v>6000</v>
      </c>
      <c r="K45" s="1218"/>
      <c r="L45" s="1226"/>
    </row>
    <row r="46" spans="2:12" s="109" customFormat="1" outlineLevel="1" thickBot="1">
      <c r="B46" s="1165"/>
      <c r="C46" s="1166"/>
      <c r="D46" s="395" t="s">
        <v>392</v>
      </c>
      <c r="E46" s="396" t="s">
        <v>301</v>
      </c>
      <c r="F46" s="468"/>
      <c r="G46" s="397"/>
      <c r="H46" s="397"/>
      <c r="I46" s="398"/>
      <c r="J46" s="398"/>
      <c r="K46" s="551"/>
      <c r="L46" s="1227"/>
    </row>
    <row r="47" spans="2:12" s="109" customFormat="1" outlineLevel="1" thickBot="1">
      <c r="B47" s="1233" t="s">
        <v>523</v>
      </c>
      <c r="C47" s="1234"/>
      <c r="D47" s="553" t="s">
        <v>393</v>
      </c>
      <c r="E47" s="432" t="s">
        <v>88</v>
      </c>
      <c r="F47" s="473"/>
      <c r="G47" s="434"/>
      <c r="H47" s="433"/>
      <c r="I47" s="435"/>
      <c r="J47" s="435"/>
      <c r="K47" s="554"/>
      <c r="L47" s="580">
        <f>+K47</f>
        <v>0</v>
      </c>
    </row>
    <row r="48" spans="2:12" s="109" customFormat="1" thickBot="1">
      <c r="B48" s="442">
        <v>1.3</v>
      </c>
      <c r="C48" s="1167" t="s">
        <v>32</v>
      </c>
      <c r="D48" s="1167"/>
      <c r="E48" s="1167"/>
      <c r="F48" s="464"/>
      <c r="G48" s="444"/>
      <c r="H48" s="444"/>
      <c r="I48" s="444"/>
      <c r="J48" s="444"/>
      <c r="K48" s="445"/>
      <c r="L48" s="446"/>
    </row>
    <row r="49" spans="2:12" s="109" customFormat="1" ht="13" outlineLevel="1">
      <c r="B49" s="1162" t="s">
        <v>524</v>
      </c>
      <c r="C49" s="1163"/>
      <c r="D49" s="400" t="s">
        <v>396</v>
      </c>
      <c r="E49" s="438" t="s">
        <v>730</v>
      </c>
      <c r="F49" s="465"/>
      <c r="G49" s="393">
        <v>4</v>
      </c>
      <c r="H49" s="393" t="s">
        <v>364</v>
      </c>
      <c r="I49" s="403">
        <f>+VLOOKUP(E49,'Line items'!$B$3:$D$117,3,FALSE)</f>
        <v>500</v>
      </c>
      <c r="J49" s="394">
        <f t="shared" ref="J49:J51" si="9">+I49*G49</f>
        <v>2000</v>
      </c>
      <c r="K49" s="552">
        <f t="shared" ref="K49:K51" si="10">+J49</f>
        <v>2000</v>
      </c>
      <c r="L49" s="1225">
        <f>+SUM(K49:K51)</f>
        <v>62000</v>
      </c>
    </row>
    <row r="50" spans="2:12" s="109" customFormat="1" ht="13" outlineLevel="1">
      <c r="B50" s="1164"/>
      <c r="C50" s="1160"/>
      <c r="D50" s="373" t="s">
        <v>397</v>
      </c>
      <c r="E50" s="370" t="s">
        <v>665</v>
      </c>
      <c r="F50" s="466"/>
      <c r="G50" s="371">
        <v>300</v>
      </c>
      <c r="H50" s="371" t="s">
        <v>360</v>
      </c>
      <c r="I50" s="376">
        <f>+VLOOKUP(E50,'Line items'!$B$3:$D$117,3,FALSE)</f>
        <v>200</v>
      </c>
      <c r="J50" s="372">
        <f t="shared" si="9"/>
        <v>60000</v>
      </c>
      <c r="K50" s="533">
        <f t="shared" si="10"/>
        <v>60000</v>
      </c>
      <c r="L50" s="1226"/>
    </row>
    <row r="51" spans="2:12" s="109" customFormat="1" outlineLevel="1" thickBot="1">
      <c r="B51" s="1165"/>
      <c r="C51" s="1166"/>
      <c r="D51" s="395" t="s">
        <v>398</v>
      </c>
      <c r="E51" s="439" t="s">
        <v>310</v>
      </c>
      <c r="F51" s="556" t="s">
        <v>756</v>
      </c>
      <c r="G51" s="440"/>
      <c r="H51" s="440" t="s">
        <v>364</v>
      </c>
      <c r="I51" s="408">
        <v>0</v>
      </c>
      <c r="J51" s="408">
        <f t="shared" si="9"/>
        <v>0</v>
      </c>
      <c r="K51" s="550">
        <f t="shared" si="10"/>
        <v>0</v>
      </c>
      <c r="L51" s="1227"/>
    </row>
    <row r="52" spans="2:12" s="109" customFormat="1" thickBot="1">
      <c r="B52" s="442">
        <v>1.4</v>
      </c>
      <c r="C52" s="1167" t="s">
        <v>14</v>
      </c>
      <c r="D52" s="1167"/>
      <c r="E52" s="1167"/>
      <c r="F52" s="464"/>
      <c r="G52" s="444"/>
      <c r="H52" s="444"/>
      <c r="I52" s="444"/>
      <c r="J52" s="444"/>
      <c r="K52" s="445"/>
      <c r="L52" s="446"/>
    </row>
    <row r="53" spans="2:12" s="109" customFormat="1" ht="13" outlineLevel="1">
      <c r="B53" s="1162" t="s">
        <v>525</v>
      </c>
      <c r="C53" s="1163"/>
      <c r="D53" s="400" t="s">
        <v>399</v>
      </c>
      <c r="E53" s="401" t="s">
        <v>301</v>
      </c>
      <c r="F53" s="469"/>
      <c r="G53" s="402"/>
      <c r="H53" s="402"/>
      <c r="I53" s="403"/>
      <c r="J53" s="403"/>
      <c r="K53" s="557"/>
      <c r="L53" s="1225">
        <f>+SUM(K53:K55)</f>
        <v>0</v>
      </c>
    </row>
    <row r="54" spans="2:12" s="109" customFormat="1" ht="13" outlineLevel="1">
      <c r="B54" s="1164"/>
      <c r="C54" s="1160"/>
      <c r="D54" s="373" t="s">
        <v>426</v>
      </c>
      <c r="E54" s="374" t="s">
        <v>301</v>
      </c>
      <c r="F54" s="467"/>
      <c r="G54" s="375"/>
      <c r="H54" s="375"/>
      <c r="I54" s="376"/>
      <c r="J54" s="376"/>
      <c r="K54" s="534"/>
      <c r="L54" s="1226"/>
    </row>
    <row r="55" spans="2:12" s="109" customFormat="1" outlineLevel="1" thickBot="1">
      <c r="B55" s="1165"/>
      <c r="C55" s="1166"/>
      <c r="D55" s="395" t="s">
        <v>401</v>
      </c>
      <c r="E55" s="396" t="s">
        <v>301</v>
      </c>
      <c r="F55" s="468"/>
      <c r="G55" s="397"/>
      <c r="H55" s="397"/>
      <c r="I55" s="398"/>
      <c r="J55" s="398"/>
      <c r="K55" s="551"/>
      <c r="L55" s="1227"/>
    </row>
    <row r="56" spans="2:12" s="109" customFormat="1" thickBot="1">
      <c r="B56" s="442">
        <v>1.5</v>
      </c>
      <c r="C56" s="1167" t="s">
        <v>16</v>
      </c>
      <c r="D56" s="1167"/>
      <c r="E56" s="1167"/>
      <c r="F56" s="464"/>
      <c r="G56" s="444"/>
      <c r="H56" s="444"/>
      <c r="I56" s="444"/>
      <c r="J56" s="444"/>
      <c r="K56" s="445"/>
      <c r="L56" s="446"/>
    </row>
    <row r="57" spans="2:12" s="109" customFormat="1" ht="13" outlineLevel="1">
      <c r="B57" s="1162" t="s">
        <v>526</v>
      </c>
      <c r="C57" s="1163"/>
      <c r="D57" s="1248" t="s">
        <v>402</v>
      </c>
      <c r="E57" s="392" t="s">
        <v>490</v>
      </c>
      <c r="F57" s="465"/>
      <c r="G57" s="393">
        <v>1</v>
      </c>
      <c r="H57" s="393" t="s">
        <v>364</v>
      </c>
      <c r="I57" s="403">
        <f>+VLOOKUP(E57,'Line items'!$B$3:$D$117,3,FALSE)</f>
        <v>5000</v>
      </c>
      <c r="J57" s="394">
        <f t="shared" ref="J57:J61" si="11">+I57*G57</f>
        <v>5000</v>
      </c>
      <c r="K57" s="1219">
        <f>+SUM(J57:J59)</f>
        <v>6000</v>
      </c>
      <c r="L57" s="1225">
        <f>+SUM(K57:K62)</f>
        <v>17000</v>
      </c>
    </row>
    <row r="58" spans="2:12" s="109" customFormat="1" ht="13" outlineLevel="1">
      <c r="B58" s="1164"/>
      <c r="C58" s="1160"/>
      <c r="D58" s="1249"/>
      <c r="E58" s="370" t="s">
        <v>667</v>
      </c>
      <c r="F58" s="466"/>
      <c r="G58" s="371">
        <v>1</v>
      </c>
      <c r="H58" s="371" t="s">
        <v>364</v>
      </c>
      <c r="I58" s="376">
        <f>+VLOOKUP(E58,'Line items'!$B$3:$D$117,3,FALSE)</f>
        <v>1000</v>
      </c>
      <c r="J58" s="372">
        <f t="shared" si="11"/>
        <v>1000</v>
      </c>
      <c r="K58" s="1220"/>
      <c r="L58" s="1226"/>
    </row>
    <row r="59" spans="2:12" s="109" customFormat="1" ht="13" outlineLevel="1">
      <c r="B59" s="1164"/>
      <c r="C59" s="1160"/>
      <c r="D59" s="1249"/>
      <c r="E59" s="370" t="s">
        <v>312</v>
      </c>
      <c r="F59" s="466"/>
      <c r="G59" s="371"/>
      <c r="H59" s="371"/>
      <c r="I59" s="376"/>
      <c r="J59" s="372">
        <f t="shared" si="11"/>
        <v>0</v>
      </c>
      <c r="K59" s="1220"/>
      <c r="L59" s="1226"/>
    </row>
    <row r="60" spans="2:12" s="109" customFormat="1" ht="13" outlineLevel="1">
      <c r="B60" s="1164"/>
      <c r="C60" s="1160"/>
      <c r="D60" s="1249" t="s">
        <v>403</v>
      </c>
      <c r="E60" s="370" t="s">
        <v>313</v>
      </c>
      <c r="F60" s="466"/>
      <c r="G60" s="371">
        <v>30</v>
      </c>
      <c r="H60" s="371" t="s">
        <v>360</v>
      </c>
      <c r="I60" s="376">
        <f>+VLOOKUP(E60,'Line items'!$B$3:$D$117,3,FALSE)</f>
        <v>200</v>
      </c>
      <c r="J60" s="372">
        <f t="shared" si="11"/>
        <v>6000</v>
      </c>
      <c r="K60" s="1220">
        <f>+SUM(J60:J61)</f>
        <v>11000</v>
      </c>
      <c r="L60" s="1226"/>
    </row>
    <row r="61" spans="2:12" s="109" customFormat="1" ht="13" outlineLevel="1">
      <c r="B61" s="1164"/>
      <c r="C61" s="1160"/>
      <c r="D61" s="1249"/>
      <c r="E61" s="370" t="s">
        <v>490</v>
      </c>
      <c r="F61" s="466"/>
      <c r="G61" s="371">
        <v>1</v>
      </c>
      <c r="H61" s="371" t="s">
        <v>364</v>
      </c>
      <c r="I61" s="376">
        <f>+VLOOKUP(E61,'Line items'!$B$3:$D$117,3,FALSE)</f>
        <v>5000</v>
      </c>
      <c r="J61" s="372">
        <f t="shared" si="11"/>
        <v>5000</v>
      </c>
      <c r="K61" s="1220"/>
      <c r="L61" s="1226"/>
    </row>
    <row r="62" spans="2:12" s="109" customFormat="1" outlineLevel="1" thickBot="1">
      <c r="B62" s="1165"/>
      <c r="C62" s="1166"/>
      <c r="D62" s="395" t="s">
        <v>404</v>
      </c>
      <c r="E62" s="439" t="s">
        <v>88</v>
      </c>
      <c r="F62" s="477"/>
      <c r="G62" s="440"/>
      <c r="H62" s="440"/>
      <c r="I62" s="408"/>
      <c r="J62" s="408"/>
      <c r="K62" s="550">
        <f t="shared" ref="K62" si="12">+J62</f>
        <v>0</v>
      </c>
      <c r="L62" s="1227"/>
    </row>
    <row r="63" spans="2:12" s="109" customFormat="1" thickBot="1">
      <c r="B63" s="442">
        <v>1.6</v>
      </c>
      <c r="C63" s="1167" t="s">
        <v>18</v>
      </c>
      <c r="D63" s="1167"/>
      <c r="E63" s="1167"/>
      <c r="F63" s="464"/>
      <c r="G63" s="444"/>
      <c r="H63" s="444"/>
      <c r="I63" s="444"/>
      <c r="J63" s="444"/>
      <c r="K63" s="445"/>
      <c r="L63" s="446"/>
    </row>
    <row r="64" spans="2:12" s="109" customFormat="1" ht="13" outlineLevel="1">
      <c r="B64" s="1162" t="s">
        <v>527</v>
      </c>
      <c r="C64" s="1163"/>
      <c r="D64" s="400" t="s">
        <v>405</v>
      </c>
      <c r="E64" s="401" t="s">
        <v>88</v>
      </c>
      <c r="F64" s="469"/>
      <c r="G64" s="402"/>
      <c r="H64" s="402"/>
      <c r="I64" s="403"/>
      <c r="J64" s="403"/>
      <c r="K64" s="557"/>
      <c r="L64" s="1225">
        <f>+SUM(K64:K66)</f>
        <v>0</v>
      </c>
    </row>
    <row r="65" spans="2:14" s="109" customFormat="1" ht="13" outlineLevel="1">
      <c r="B65" s="1164"/>
      <c r="C65" s="1160"/>
      <c r="D65" s="373" t="s">
        <v>406</v>
      </c>
      <c r="E65" s="374" t="s">
        <v>88</v>
      </c>
      <c r="F65" s="467"/>
      <c r="G65" s="375"/>
      <c r="H65" s="375"/>
      <c r="I65" s="376"/>
      <c r="J65" s="376"/>
      <c r="K65" s="534"/>
      <c r="L65" s="1226"/>
    </row>
    <row r="66" spans="2:14" s="109" customFormat="1" outlineLevel="1" thickBot="1">
      <c r="B66" s="1165"/>
      <c r="C66" s="1166"/>
      <c r="D66" s="395" t="s">
        <v>407</v>
      </c>
      <c r="E66" s="396" t="s">
        <v>88</v>
      </c>
      <c r="F66" s="468"/>
      <c r="G66" s="397"/>
      <c r="H66" s="397"/>
      <c r="I66" s="398"/>
      <c r="J66" s="398"/>
      <c r="K66" s="551"/>
      <c r="L66" s="1227"/>
    </row>
    <row r="67" spans="2:14" s="109" customFormat="1" thickBot="1">
      <c r="B67" s="457">
        <v>1.7</v>
      </c>
      <c r="C67" s="1168" t="s">
        <v>33</v>
      </c>
      <c r="D67" s="1168"/>
      <c r="E67" s="1168"/>
      <c r="F67" s="475"/>
      <c r="G67" s="458"/>
      <c r="H67" s="458"/>
      <c r="I67" s="458"/>
      <c r="J67" s="458"/>
      <c r="K67" s="459"/>
      <c r="L67" s="581"/>
    </row>
    <row r="68" spans="2:14" s="109" customFormat="1" ht="13" outlineLevel="1">
      <c r="B68" s="1162" t="s">
        <v>528</v>
      </c>
      <c r="C68" s="1163"/>
      <c r="D68" s="400" t="s">
        <v>408</v>
      </c>
      <c r="E68" s="401" t="s">
        <v>88</v>
      </c>
      <c r="F68" s="469"/>
      <c r="G68" s="402"/>
      <c r="H68" s="402"/>
      <c r="I68" s="403"/>
      <c r="J68" s="403"/>
      <c r="K68" s="549"/>
      <c r="L68" s="1225">
        <f>+K70</f>
        <v>27500</v>
      </c>
    </row>
    <row r="69" spans="2:14" s="109" customFormat="1" ht="13" outlineLevel="1">
      <c r="B69" s="1164"/>
      <c r="C69" s="1160"/>
      <c r="D69" s="373" t="s">
        <v>409</v>
      </c>
      <c r="E69" s="374" t="s">
        <v>88</v>
      </c>
      <c r="F69" s="467"/>
      <c r="G69" s="375"/>
      <c r="H69" s="375"/>
      <c r="I69" s="376"/>
      <c r="J69" s="376"/>
      <c r="K69" s="532"/>
      <c r="L69" s="1226"/>
    </row>
    <row r="70" spans="2:14" s="109" customFormat="1" ht="13" outlineLevel="1">
      <c r="B70" s="1164"/>
      <c r="C70" s="1160"/>
      <c r="D70" s="1249" t="s">
        <v>410</v>
      </c>
      <c r="E70" s="374" t="s">
        <v>353</v>
      </c>
      <c r="F70" s="478">
        <f>1.6*4000</f>
        <v>6400</v>
      </c>
      <c r="G70" s="375"/>
      <c r="H70" s="375"/>
      <c r="I70" s="376"/>
      <c r="J70" s="376"/>
      <c r="K70" s="1218">
        <f>+SUM(J70:J74)</f>
        <v>27500</v>
      </c>
      <c r="L70" s="1226"/>
    </row>
    <row r="71" spans="2:14" s="109" customFormat="1" ht="13" outlineLevel="1">
      <c r="B71" s="1164"/>
      <c r="C71" s="1160"/>
      <c r="D71" s="1249"/>
      <c r="E71" s="456" t="s">
        <v>691</v>
      </c>
      <c r="F71" s="467" t="s">
        <v>497</v>
      </c>
      <c r="G71" s="375">
        <v>1</v>
      </c>
      <c r="H71" s="375" t="s">
        <v>364</v>
      </c>
      <c r="I71" s="376">
        <f>+VLOOKUP(E71,'Line items'!$B$3:$D$117,3,FALSE)</f>
        <v>27500</v>
      </c>
      <c r="J71" s="376">
        <f>+I71*G71</f>
        <v>27500</v>
      </c>
      <c r="K71" s="1218"/>
      <c r="L71" s="1226"/>
      <c r="N71" s="228"/>
    </row>
    <row r="72" spans="2:14" s="109" customFormat="1" ht="13" outlineLevel="1">
      <c r="B72" s="1164"/>
      <c r="C72" s="1160"/>
      <c r="D72" s="1249"/>
      <c r="E72" s="456" t="s">
        <v>692</v>
      </c>
      <c r="F72" s="467"/>
      <c r="G72" s="375"/>
      <c r="H72" s="375" t="s">
        <v>364</v>
      </c>
      <c r="I72" s="376">
        <f>+VLOOKUP(E72,'Line items'!$B$3:$D$117,3,FALSE)</f>
        <v>22500</v>
      </c>
      <c r="J72" s="376">
        <f t="shared" ref="J72:J74" si="13">+I72*G72</f>
        <v>0</v>
      </c>
      <c r="K72" s="1218"/>
      <c r="L72" s="1226"/>
      <c r="N72" s="228"/>
    </row>
    <row r="73" spans="2:14" s="109" customFormat="1" ht="13" outlineLevel="1">
      <c r="B73" s="1164"/>
      <c r="C73" s="1160"/>
      <c r="D73" s="1249"/>
      <c r="E73" s="374" t="s">
        <v>693</v>
      </c>
      <c r="F73" s="467"/>
      <c r="G73" s="375"/>
      <c r="H73" s="375" t="s">
        <v>364</v>
      </c>
      <c r="I73" s="376">
        <f>+VLOOKUP(E73,'Line items'!$B$3:$D$117,3,FALSE)</f>
        <v>87880</v>
      </c>
      <c r="J73" s="376">
        <f t="shared" si="13"/>
        <v>0</v>
      </c>
      <c r="K73" s="1218"/>
      <c r="L73" s="1226"/>
      <c r="N73" s="228"/>
    </row>
    <row r="74" spans="2:14" s="109" customFormat="1" outlineLevel="1" thickBot="1">
      <c r="B74" s="1172"/>
      <c r="C74" s="1161"/>
      <c r="D74" s="1256"/>
      <c r="E74" s="382" t="s">
        <v>694</v>
      </c>
      <c r="F74" s="470"/>
      <c r="G74" s="383"/>
      <c r="H74" s="383" t="s">
        <v>364</v>
      </c>
      <c r="I74" s="384">
        <f>+VLOOKUP(E74,'Line items'!$B$3:$D$117,3,FALSE)</f>
        <v>87880</v>
      </c>
      <c r="J74" s="384">
        <f t="shared" si="13"/>
        <v>0</v>
      </c>
      <c r="K74" s="1255"/>
      <c r="L74" s="1228"/>
      <c r="N74" s="228"/>
    </row>
    <row r="75" spans="2:14" s="109" customFormat="1" ht="13" outlineLevel="1">
      <c r="B75" s="1162" t="s">
        <v>529</v>
      </c>
      <c r="C75" s="1163"/>
      <c r="D75" s="400" t="s">
        <v>411</v>
      </c>
      <c r="E75" s="401" t="s">
        <v>88</v>
      </c>
      <c r="F75" s="469"/>
      <c r="G75" s="402"/>
      <c r="H75" s="402"/>
      <c r="I75" s="403"/>
      <c r="J75" s="403"/>
      <c r="K75" s="549"/>
      <c r="L75" s="1225">
        <f>+K77</f>
        <v>27500</v>
      </c>
    </row>
    <row r="76" spans="2:14" s="109" customFormat="1" ht="13" outlineLevel="1">
      <c r="B76" s="1164"/>
      <c r="C76" s="1160"/>
      <c r="D76" s="373" t="s">
        <v>412</v>
      </c>
      <c r="E76" s="374" t="s">
        <v>88</v>
      </c>
      <c r="F76" s="467"/>
      <c r="G76" s="375"/>
      <c r="H76" s="375"/>
      <c r="I76" s="376"/>
      <c r="J76" s="376"/>
      <c r="K76" s="532"/>
      <c r="L76" s="1226"/>
    </row>
    <row r="77" spans="2:14" s="109" customFormat="1" ht="13" outlineLevel="1">
      <c r="B77" s="1164"/>
      <c r="C77" s="1160"/>
      <c r="D77" s="1249" t="s">
        <v>413</v>
      </c>
      <c r="E77" s="374" t="s">
        <v>353</v>
      </c>
      <c r="F77" s="478">
        <f>1.6*4000</f>
        <v>6400</v>
      </c>
      <c r="G77" s="375"/>
      <c r="H77" s="375"/>
      <c r="I77" s="376"/>
      <c r="J77" s="376">
        <f t="shared" ref="J77:J81" si="14">+I77*G77</f>
        <v>0</v>
      </c>
      <c r="K77" s="1218">
        <f>+SUM(J77:J81)</f>
        <v>27500</v>
      </c>
      <c r="L77" s="1226"/>
    </row>
    <row r="78" spans="2:14" s="109" customFormat="1" ht="13" outlineLevel="1">
      <c r="B78" s="1164"/>
      <c r="C78" s="1160"/>
      <c r="D78" s="1249"/>
      <c r="E78" s="456" t="s">
        <v>691</v>
      </c>
      <c r="F78" s="467" t="s">
        <v>497</v>
      </c>
      <c r="G78" s="375">
        <v>1</v>
      </c>
      <c r="H78" s="375" t="s">
        <v>364</v>
      </c>
      <c r="I78" s="376">
        <f>+VLOOKUP(E78,'Line items'!$B$3:$D$117,3,FALSE)</f>
        <v>27500</v>
      </c>
      <c r="J78" s="376">
        <f t="shared" si="14"/>
        <v>27500</v>
      </c>
      <c r="K78" s="1218"/>
      <c r="L78" s="1226"/>
    </row>
    <row r="79" spans="2:14" s="109" customFormat="1" ht="13" outlineLevel="1">
      <c r="B79" s="1164"/>
      <c r="C79" s="1160"/>
      <c r="D79" s="1249"/>
      <c r="E79" s="456" t="s">
        <v>692</v>
      </c>
      <c r="F79" s="467"/>
      <c r="G79" s="375"/>
      <c r="H79" s="375" t="s">
        <v>364</v>
      </c>
      <c r="I79" s="376">
        <f>+VLOOKUP(E79,'Line items'!$B$3:$D$117,3,FALSE)</f>
        <v>22500</v>
      </c>
      <c r="J79" s="376">
        <f t="shared" si="14"/>
        <v>0</v>
      </c>
      <c r="K79" s="1218"/>
      <c r="L79" s="1226"/>
    </row>
    <row r="80" spans="2:14" s="109" customFormat="1" ht="13" outlineLevel="1">
      <c r="B80" s="1164"/>
      <c r="C80" s="1160"/>
      <c r="D80" s="1249"/>
      <c r="E80" s="374" t="s">
        <v>693</v>
      </c>
      <c r="F80" s="467"/>
      <c r="G80" s="375"/>
      <c r="H80" s="375" t="s">
        <v>364</v>
      </c>
      <c r="I80" s="376">
        <f>+VLOOKUP(E80,'Line items'!$B$3:$D$117,3,FALSE)</f>
        <v>87880</v>
      </c>
      <c r="J80" s="376">
        <f t="shared" si="14"/>
        <v>0</v>
      </c>
      <c r="K80" s="1218"/>
      <c r="L80" s="1226"/>
    </row>
    <row r="81" spans="2:12" s="109" customFormat="1" outlineLevel="1" thickBot="1">
      <c r="B81" s="1165"/>
      <c r="C81" s="1166"/>
      <c r="D81" s="1250"/>
      <c r="E81" s="396" t="s">
        <v>694</v>
      </c>
      <c r="F81" s="468"/>
      <c r="G81" s="397"/>
      <c r="H81" s="397" t="s">
        <v>364</v>
      </c>
      <c r="I81" s="398">
        <f>+VLOOKUP(E81,'Line items'!$B$3:$D$117,3,FALSE)</f>
        <v>87880</v>
      </c>
      <c r="J81" s="398">
        <f t="shared" si="14"/>
        <v>0</v>
      </c>
      <c r="K81" s="1223"/>
      <c r="L81" s="1227"/>
    </row>
    <row r="82" spans="2:12" s="109" customFormat="1" ht="13" outlineLevel="1">
      <c r="B82" s="1162" t="s">
        <v>530</v>
      </c>
      <c r="C82" s="1163"/>
      <c r="D82" s="400" t="s">
        <v>414</v>
      </c>
      <c r="E82" s="401" t="s">
        <v>88</v>
      </c>
      <c r="F82" s="469"/>
      <c r="G82" s="402"/>
      <c r="H82" s="402"/>
      <c r="I82" s="403"/>
      <c r="J82" s="403"/>
      <c r="K82" s="549"/>
      <c r="L82" s="1225">
        <f>+K84</f>
        <v>27500</v>
      </c>
    </row>
    <row r="83" spans="2:12" s="109" customFormat="1" ht="13" outlineLevel="1">
      <c r="B83" s="1164"/>
      <c r="C83" s="1160"/>
      <c r="D83" s="373" t="s">
        <v>415</v>
      </c>
      <c r="E83" s="374" t="s">
        <v>88</v>
      </c>
      <c r="F83" s="467"/>
      <c r="G83" s="375"/>
      <c r="H83" s="375"/>
      <c r="I83" s="376"/>
      <c r="J83" s="376"/>
      <c r="K83" s="532"/>
      <c r="L83" s="1226"/>
    </row>
    <row r="84" spans="2:12" s="109" customFormat="1" ht="13" outlineLevel="1">
      <c r="B84" s="1164"/>
      <c r="C84" s="1160"/>
      <c r="D84" s="1249" t="s">
        <v>416</v>
      </c>
      <c r="E84" s="374" t="s">
        <v>353</v>
      </c>
      <c r="F84" s="478">
        <f>1.6*4000</f>
        <v>6400</v>
      </c>
      <c r="G84" s="375"/>
      <c r="H84" s="375"/>
      <c r="I84" s="376"/>
      <c r="J84" s="376">
        <f t="shared" ref="J84:J88" si="15">+I84*G84</f>
        <v>0</v>
      </c>
      <c r="K84" s="1218">
        <f>+SUM(J84:J88)</f>
        <v>27500</v>
      </c>
      <c r="L84" s="1226"/>
    </row>
    <row r="85" spans="2:12" s="109" customFormat="1" ht="13" outlineLevel="1">
      <c r="B85" s="1164"/>
      <c r="C85" s="1160"/>
      <c r="D85" s="1249"/>
      <c r="E85" s="456" t="s">
        <v>691</v>
      </c>
      <c r="F85" s="467" t="s">
        <v>497</v>
      </c>
      <c r="G85" s="375">
        <v>1</v>
      </c>
      <c r="H85" s="375" t="s">
        <v>364</v>
      </c>
      <c r="I85" s="376">
        <f>+VLOOKUP(E85,'Line items'!$B$3:$D$117,3,FALSE)</f>
        <v>27500</v>
      </c>
      <c r="J85" s="376">
        <f t="shared" si="15"/>
        <v>27500</v>
      </c>
      <c r="K85" s="1218"/>
      <c r="L85" s="1226"/>
    </row>
    <row r="86" spans="2:12" s="109" customFormat="1" ht="13" outlineLevel="1">
      <c r="B86" s="1164"/>
      <c r="C86" s="1160"/>
      <c r="D86" s="1249"/>
      <c r="E86" s="456" t="s">
        <v>692</v>
      </c>
      <c r="F86" s="467"/>
      <c r="G86" s="375"/>
      <c r="H86" s="375" t="s">
        <v>364</v>
      </c>
      <c r="I86" s="376">
        <f>+VLOOKUP(E86,'Line items'!$B$3:$D$117,3,FALSE)</f>
        <v>22500</v>
      </c>
      <c r="J86" s="376">
        <f t="shared" si="15"/>
        <v>0</v>
      </c>
      <c r="K86" s="1218"/>
      <c r="L86" s="1226"/>
    </row>
    <row r="87" spans="2:12" s="109" customFormat="1" ht="13" outlineLevel="1">
      <c r="B87" s="1164"/>
      <c r="C87" s="1160"/>
      <c r="D87" s="1249"/>
      <c r="E87" s="374" t="s">
        <v>693</v>
      </c>
      <c r="F87" s="467"/>
      <c r="G87" s="375"/>
      <c r="H87" s="375" t="s">
        <v>364</v>
      </c>
      <c r="I87" s="376">
        <f>+VLOOKUP(E87,'Line items'!$B$3:$D$117,3,FALSE)</f>
        <v>87880</v>
      </c>
      <c r="J87" s="376">
        <f t="shared" si="15"/>
        <v>0</v>
      </c>
      <c r="K87" s="1218"/>
      <c r="L87" s="1226"/>
    </row>
    <row r="88" spans="2:12" s="109" customFormat="1" outlineLevel="1" thickBot="1">
      <c r="B88" s="1165"/>
      <c r="C88" s="1166"/>
      <c r="D88" s="1250"/>
      <c r="E88" s="396" t="s">
        <v>694</v>
      </c>
      <c r="F88" s="468"/>
      <c r="G88" s="397"/>
      <c r="H88" s="397" t="s">
        <v>364</v>
      </c>
      <c r="I88" s="398">
        <f>+VLOOKUP(E88,'Line items'!$B$3:$D$117,3,FALSE)</f>
        <v>87880</v>
      </c>
      <c r="J88" s="398">
        <f t="shared" si="15"/>
        <v>0</v>
      </c>
      <c r="K88" s="1223"/>
      <c r="L88" s="1227"/>
    </row>
    <row r="89" spans="2:12" s="109" customFormat="1" ht="13" outlineLevel="1">
      <c r="B89" s="1162" t="s">
        <v>531</v>
      </c>
      <c r="C89" s="1163"/>
      <c r="D89" s="400" t="s">
        <v>417</v>
      </c>
      <c r="E89" s="401" t="s">
        <v>88</v>
      </c>
      <c r="F89" s="469"/>
      <c r="G89" s="402"/>
      <c r="H89" s="402"/>
      <c r="I89" s="403"/>
      <c r="J89" s="403"/>
      <c r="K89" s="549"/>
      <c r="L89" s="1225">
        <f>+K91</f>
        <v>27500</v>
      </c>
    </row>
    <row r="90" spans="2:12" s="109" customFormat="1" ht="13" outlineLevel="1">
      <c r="B90" s="1164"/>
      <c r="C90" s="1160"/>
      <c r="D90" s="373" t="s">
        <v>418</v>
      </c>
      <c r="E90" s="374" t="s">
        <v>88</v>
      </c>
      <c r="F90" s="467"/>
      <c r="G90" s="375"/>
      <c r="H90" s="375"/>
      <c r="I90" s="376"/>
      <c r="J90" s="376"/>
      <c r="K90" s="532"/>
      <c r="L90" s="1226"/>
    </row>
    <row r="91" spans="2:12" s="109" customFormat="1" ht="13" outlineLevel="1">
      <c r="B91" s="1164"/>
      <c r="C91" s="1160"/>
      <c r="D91" s="1249" t="s">
        <v>419</v>
      </c>
      <c r="E91" s="374" t="s">
        <v>353</v>
      </c>
      <c r="F91" s="478">
        <f>1.6*4000</f>
        <v>6400</v>
      </c>
      <c r="G91" s="375"/>
      <c r="H91" s="375"/>
      <c r="I91" s="376"/>
      <c r="J91" s="376">
        <f t="shared" ref="J91:J95" si="16">+I91*G91</f>
        <v>0</v>
      </c>
      <c r="K91" s="1218">
        <f>+SUM(J91:J95)</f>
        <v>27500</v>
      </c>
      <c r="L91" s="1226"/>
    </row>
    <row r="92" spans="2:12" s="109" customFormat="1" ht="13" outlineLevel="1">
      <c r="B92" s="1164"/>
      <c r="C92" s="1160"/>
      <c r="D92" s="1249"/>
      <c r="E92" s="456" t="s">
        <v>691</v>
      </c>
      <c r="F92" s="467" t="s">
        <v>497</v>
      </c>
      <c r="G92" s="375">
        <v>1</v>
      </c>
      <c r="H92" s="375" t="s">
        <v>364</v>
      </c>
      <c r="I92" s="376">
        <f>+VLOOKUP(E92,'Line items'!$B$3:$D$117,3,FALSE)</f>
        <v>27500</v>
      </c>
      <c r="J92" s="376">
        <f t="shared" si="16"/>
        <v>27500</v>
      </c>
      <c r="K92" s="1218"/>
      <c r="L92" s="1226"/>
    </row>
    <row r="93" spans="2:12" s="109" customFormat="1" ht="13" outlineLevel="1">
      <c r="B93" s="1164"/>
      <c r="C93" s="1160"/>
      <c r="D93" s="1249"/>
      <c r="E93" s="456" t="s">
        <v>692</v>
      </c>
      <c r="F93" s="467"/>
      <c r="G93" s="375"/>
      <c r="H93" s="375" t="s">
        <v>364</v>
      </c>
      <c r="I93" s="376">
        <f>+VLOOKUP(E93,'Line items'!$B$3:$D$117,3,FALSE)</f>
        <v>22500</v>
      </c>
      <c r="J93" s="376">
        <f t="shared" si="16"/>
        <v>0</v>
      </c>
      <c r="K93" s="1218"/>
      <c r="L93" s="1226"/>
    </row>
    <row r="94" spans="2:12" s="109" customFormat="1" ht="13" outlineLevel="1">
      <c r="B94" s="1164"/>
      <c r="C94" s="1160"/>
      <c r="D94" s="1249"/>
      <c r="E94" s="374" t="s">
        <v>693</v>
      </c>
      <c r="F94" s="467"/>
      <c r="G94" s="375"/>
      <c r="H94" s="375" t="s">
        <v>364</v>
      </c>
      <c r="I94" s="376">
        <f>+VLOOKUP(E94,'Line items'!$B$3:$D$117,3,FALSE)</f>
        <v>87880</v>
      </c>
      <c r="J94" s="376">
        <f t="shared" si="16"/>
        <v>0</v>
      </c>
      <c r="K94" s="1218"/>
      <c r="L94" s="1226"/>
    </row>
    <row r="95" spans="2:12" s="109" customFormat="1" outlineLevel="1" thickBot="1">
      <c r="B95" s="1165"/>
      <c r="C95" s="1166"/>
      <c r="D95" s="1250"/>
      <c r="E95" s="396" t="s">
        <v>694</v>
      </c>
      <c r="F95" s="468"/>
      <c r="G95" s="397"/>
      <c r="H95" s="397" t="s">
        <v>364</v>
      </c>
      <c r="I95" s="398">
        <f>+VLOOKUP(E95,'Line items'!$B$3:$D$117,3,FALSE)</f>
        <v>87880</v>
      </c>
      <c r="J95" s="398">
        <f t="shared" si="16"/>
        <v>0</v>
      </c>
      <c r="K95" s="1223"/>
      <c r="L95" s="1227"/>
    </row>
    <row r="96" spans="2:12" s="109" customFormat="1" thickBot="1">
      <c r="B96" s="442">
        <v>1.8</v>
      </c>
      <c r="C96" s="1167" t="s">
        <v>22</v>
      </c>
      <c r="D96" s="1167"/>
      <c r="E96" s="1167"/>
      <c r="F96" s="464"/>
      <c r="G96" s="444"/>
      <c r="H96" s="444"/>
      <c r="I96" s="444"/>
      <c r="J96" s="444"/>
      <c r="K96" s="445"/>
      <c r="L96" s="446"/>
    </row>
    <row r="97" spans="2:12" s="109" customFormat="1" ht="13" outlineLevel="1">
      <c r="B97" s="1162" t="s">
        <v>532</v>
      </c>
      <c r="C97" s="1163"/>
      <c r="D97" s="400" t="s">
        <v>420</v>
      </c>
      <c r="E97" s="401" t="s">
        <v>682</v>
      </c>
      <c r="F97" s="469"/>
      <c r="G97" s="402">
        <v>4</v>
      </c>
      <c r="H97" s="402" t="s">
        <v>364</v>
      </c>
      <c r="I97" s="403">
        <f>+VLOOKUP(E97,'Line items'!$B$3:$D$117,3,FALSE)</f>
        <v>500</v>
      </c>
      <c r="J97" s="403">
        <f t="shared" ref="J97" si="17">+I97*G97</f>
        <v>2000</v>
      </c>
      <c r="K97" s="549">
        <f t="shared" ref="K97" si="18">+J97</f>
        <v>2000</v>
      </c>
      <c r="L97" s="1225">
        <f>+SUM(K97:K99)</f>
        <v>2000</v>
      </c>
    </row>
    <row r="98" spans="2:12" s="109" customFormat="1" ht="13" outlineLevel="1">
      <c r="B98" s="1164"/>
      <c r="C98" s="1160"/>
      <c r="D98" s="373" t="s">
        <v>421</v>
      </c>
      <c r="E98" s="374" t="s">
        <v>88</v>
      </c>
      <c r="F98" s="467"/>
      <c r="G98" s="375"/>
      <c r="H98" s="375"/>
      <c r="I98" s="376"/>
      <c r="J98" s="376"/>
      <c r="K98" s="534"/>
      <c r="L98" s="1226"/>
    </row>
    <row r="99" spans="2:12" s="109" customFormat="1" outlineLevel="1" thickBot="1">
      <c r="B99" s="1165"/>
      <c r="C99" s="1166"/>
      <c r="D99" s="395" t="s">
        <v>422</v>
      </c>
      <c r="E99" s="396" t="s">
        <v>88</v>
      </c>
      <c r="F99" s="468"/>
      <c r="G99" s="397"/>
      <c r="H99" s="397"/>
      <c r="I99" s="398"/>
      <c r="J99" s="398"/>
      <c r="K99" s="551"/>
      <c r="L99" s="1227"/>
    </row>
    <row r="100" spans="2:12" s="109" customFormat="1" ht="13" outlineLevel="1">
      <c r="B100" s="1162" t="s">
        <v>533</v>
      </c>
      <c r="C100" s="1163"/>
      <c r="D100" s="1248" t="s">
        <v>423</v>
      </c>
      <c r="E100" s="401" t="s">
        <v>315</v>
      </c>
      <c r="F100" s="469"/>
      <c r="G100" s="402">
        <v>1</v>
      </c>
      <c r="H100" s="402" t="s">
        <v>364</v>
      </c>
      <c r="I100" s="403">
        <f>+VLOOKUP(E100,'Line items'!$B$3:$D$117,3,FALSE)</f>
        <v>5000</v>
      </c>
      <c r="J100" s="403">
        <f t="shared" ref="J100" si="19">+I100*G100</f>
        <v>5000</v>
      </c>
      <c r="K100" s="1217">
        <f>+SUM(J100:J101)</f>
        <v>65000</v>
      </c>
      <c r="L100" s="1225">
        <f>+SUM(K100:K103)</f>
        <v>65000</v>
      </c>
    </row>
    <row r="101" spans="2:12" s="109" customFormat="1" ht="13" outlineLevel="1">
      <c r="B101" s="1164"/>
      <c r="C101" s="1160"/>
      <c r="D101" s="1249"/>
      <c r="E101" s="374" t="s">
        <v>700</v>
      </c>
      <c r="F101" s="467"/>
      <c r="G101" s="375">
        <v>300</v>
      </c>
      <c r="H101" s="375" t="s">
        <v>360</v>
      </c>
      <c r="I101" s="376">
        <f>+VLOOKUP(E101,'Line items'!$B$3:$D$117,3,FALSE)</f>
        <v>200</v>
      </c>
      <c r="J101" s="376">
        <f>+I101*G101</f>
        <v>60000</v>
      </c>
      <c r="K101" s="1218"/>
      <c r="L101" s="1226"/>
    </row>
    <row r="102" spans="2:12" s="109" customFormat="1" ht="13" outlineLevel="1">
      <c r="B102" s="1164"/>
      <c r="C102" s="1160"/>
      <c r="D102" s="373" t="s">
        <v>424</v>
      </c>
      <c r="E102" s="374" t="s">
        <v>88</v>
      </c>
      <c r="F102" s="467"/>
      <c r="G102" s="375"/>
      <c r="H102" s="375"/>
      <c r="I102" s="376"/>
      <c r="J102" s="376"/>
      <c r="K102" s="534"/>
      <c r="L102" s="1226"/>
    </row>
    <row r="103" spans="2:12" s="109" customFormat="1" outlineLevel="1" thickBot="1">
      <c r="B103" s="1172"/>
      <c r="C103" s="1161"/>
      <c r="D103" s="381" t="s">
        <v>425</v>
      </c>
      <c r="E103" s="382" t="s">
        <v>88</v>
      </c>
      <c r="F103" s="470"/>
      <c r="G103" s="383"/>
      <c r="H103" s="383"/>
      <c r="I103" s="384"/>
      <c r="J103" s="384"/>
      <c r="K103" s="541"/>
      <c r="L103" s="1228"/>
    </row>
    <row r="104" spans="2:12" s="109" customFormat="1" thickBot="1">
      <c r="B104" s="490">
        <v>2</v>
      </c>
      <c r="C104" s="491" t="s">
        <v>316</v>
      </c>
      <c r="D104" s="492"/>
      <c r="E104" s="493"/>
      <c r="F104" s="494"/>
      <c r="G104" s="495"/>
      <c r="H104" s="495"/>
      <c r="I104" s="496"/>
      <c r="J104" s="496"/>
      <c r="K104" s="560"/>
      <c r="L104" s="561"/>
    </row>
    <row r="105" spans="2:12" s="109" customFormat="1" thickBot="1">
      <c r="B105" s="499">
        <v>2.1</v>
      </c>
      <c r="C105" s="1210" t="s">
        <v>34</v>
      </c>
      <c r="D105" s="1210"/>
      <c r="E105" s="1210"/>
      <c r="F105" s="500"/>
      <c r="G105" s="501"/>
      <c r="H105" s="501"/>
      <c r="I105" s="502"/>
      <c r="J105" s="502"/>
      <c r="K105" s="562"/>
      <c r="L105" s="563"/>
    </row>
    <row r="106" spans="2:12" s="109" customFormat="1" ht="13" outlineLevel="1">
      <c r="B106" s="1162" t="s">
        <v>534</v>
      </c>
      <c r="C106" s="1163"/>
      <c r="D106" s="1248" t="s">
        <v>427</v>
      </c>
      <c r="E106" s="401" t="s">
        <v>344</v>
      </c>
      <c r="F106" s="469"/>
      <c r="G106" s="402"/>
      <c r="H106" s="402"/>
      <c r="I106" s="403">
        <v>0</v>
      </c>
      <c r="J106" s="403">
        <f t="shared" ref="J106:J108" si="20">+I106*G106</f>
        <v>0</v>
      </c>
      <c r="K106" s="1217">
        <f>+SUM(J106:J108)</f>
        <v>3300</v>
      </c>
      <c r="L106" s="1225">
        <f>+SUM(K106:K110)</f>
        <v>4300</v>
      </c>
    </row>
    <row r="107" spans="2:12" s="109" customFormat="1" ht="13" outlineLevel="1">
      <c r="B107" s="1164"/>
      <c r="C107" s="1160"/>
      <c r="D107" s="1249"/>
      <c r="E107" s="370" t="s">
        <v>708</v>
      </c>
      <c r="F107" s="467"/>
      <c r="G107" s="375">
        <v>1</v>
      </c>
      <c r="H107" s="375" t="s">
        <v>364</v>
      </c>
      <c r="I107" s="376">
        <f>+VLOOKUP(E107,'Line items'!$B$3:$D$117,3,FALSE)</f>
        <v>1550</v>
      </c>
      <c r="J107" s="376">
        <f t="shared" si="20"/>
        <v>1550</v>
      </c>
      <c r="K107" s="1218"/>
      <c r="L107" s="1226"/>
    </row>
    <row r="108" spans="2:12" s="109" customFormat="1" ht="13" outlineLevel="1">
      <c r="B108" s="1164"/>
      <c r="C108" s="1160"/>
      <c r="D108" s="1249"/>
      <c r="E108" s="370" t="s">
        <v>709</v>
      </c>
      <c r="F108" s="467"/>
      <c r="G108" s="375">
        <v>1</v>
      </c>
      <c r="H108" s="375" t="s">
        <v>364</v>
      </c>
      <c r="I108" s="376">
        <f>+VLOOKUP(E108,'Line items'!$B$3:$D$117,3,FALSE)</f>
        <v>1750</v>
      </c>
      <c r="J108" s="376">
        <f t="shared" si="20"/>
        <v>1750</v>
      </c>
      <c r="K108" s="1218"/>
      <c r="L108" s="1226"/>
    </row>
    <row r="109" spans="2:12" s="109" customFormat="1" ht="13" outlineLevel="1">
      <c r="B109" s="1164"/>
      <c r="C109" s="1160"/>
      <c r="D109" s="373" t="s">
        <v>428</v>
      </c>
      <c r="E109" s="374" t="s">
        <v>88</v>
      </c>
      <c r="F109" s="467"/>
      <c r="G109" s="375"/>
      <c r="H109" s="375"/>
      <c r="I109" s="376"/>
      <c r="J109" s="376"/>
      <c r="K109" s="534"/>
      <c r="L109" s="1226"/>
    </row>
    <row r="110" spans="2:12" s="109" customFormat="1" outlineLevel="1" thickBot="1">
      <c r="B110" s="1165"/>
      <c r="C110" s="1166"/>
      <c r="D110" s="395" t="s">
        <v>429</v>
      </c>
      <c r="E110" s="396" t="s">
        <v>191</v>
      </c>
      <c r="F110" s="468"/>
      <c r="G110" s="397">
        <v>100</v>
      </c>
      <c r="H110" s="397" t="s">
        <v>360</v>
      </c>
      <c r="I110" s="398">
        <f>+VLOOKUP(E110,'Line items'!$B$3:$D$117,3,FALSE)</f>
        <v>10</v>
      </c>
      <c r="J110" s="398">
        <f t="shared" ref="J110:J113" si="21">+I110*G110</f>
        <v>1000</v>
      </c>
      <c r="K110" s="548">
        <f t="shared" ref="K110" si="22">+J110</f>
        <v>1000</v>
      </c>
      <c r="L110" s="1227"/>
    </row>
    <row r="111" spans="2:12" s="109" customFormat="1" ht="13" outlineLevel="1">
      <c r="B111" s="1162" t="s">
        <v>535</v>
      </c>
      <c r="C111" s="1163"/>
      <c r="D111" s="1248" t="s">
        <v>430</v>
      </c>
      <c r="E111" s="401" t="s">
        <v>345</v>
      </c>
      <c r="F111" s="469" t="s">
        <v>318</v>
      </c>
      <c r="G111" s="402">
        <v>100</v>
      </c>
      <c r="H111" s="402" t="s">
        <v>360</v>
      </c>
      <c r="I111" s="403">
        <f>+VLOOKUP(E111,'Line items'!$B$3:$D$117,3,FALSE)</f>
        <v>50</v>
      </c>
      <c r="J111" s="403">
        <f t="shared" si="21"/>
        <v>5000</v>
      </c>
      <c r="K111" s="1217">
        <f>+SUM(J111:J113)</f>
        <v>7450</v>
      </c>
      <c r="L111" s="1225">
        <f>+SUM(K111:K115)</f>
        <v>8450</v>
      </c>
    </row>
    <row r="112" spans="2:12" s="109" customFormat="1" ht="13" outlineLevel="1">
      <c r="B112" s="1164"/>
      <c r="C112" s="1160"/>
      <c r="D112" s="1249"/>
      <c r="E112" s="370" t="s">
        <v>709</v>
      </c>
      <c r="F112" s="467"/>
      <c r="G112" s="375">
        <v>1</v>
      </c>
      <c r="H112" s="375" t="s">
        <v>364</v>
      </c>
      <c r="I112" s="376">
        <f>+VLOOKUP(E112,'Line items'!$B$3:$D$117,3,FALSE)</f>
        <v>1750</v>
      </c>
      <c r="J112" s="376">
        <f t="shared" si="21"/>
        <v>1750</v>
      </c>
      <c r="K112" s="1218"/>
      <c r="L112" s="1226"/>
    </row>
    <row r="113" spans="2:12" s="109" customFormat="1" ht="13" outlineLevel="1">
      <c r="B113" s="1164"/>
      <c r="C113" s="1160"/>
      <c r="D113" s="1249"/>
      <c r="E113" s="374" t="s">
        <v>705</v>
      </c>
      <c r="F113" s="467"/>
      <c r="G113" s="375">
        <v>1</v>
      </c>
      <c r="H113" s="375" t="s">
        <v>364</v>
      </c>
      <c r="I113" s="376">
        <f>+VLOOKUP(E113,'Line items'!$B$3:$D$117,3,FALSE)</f>
        <v>700</v>
      </c>
      <c r="J113" s="376">
        <f t="shared" si="21"/>
        <v>700</v>
      </c>
      <c r="K113" s="1218"/>
      <c r="L113" s="1226"/>
    </row>
    <row r="114" spans="2:12" s="109" customFormat="1" ht="13" outlineLevel="1">
      <c r="B114" s="1164"/>
      <c r="C114" s="1160"/>
      <c r="D114" s="373" t="s">
        <v>431</v>
      </c>
      <c r="E114" s="374" t="s">
        <v>88</v>
      </c>
      <c r="F114" s="467"/>
      <c r="G114" s="375"/>
      <c r="H114" s="375"/>
      <c r="I114" s="376"/>
      <c r="J114" s="376"/>
      <c r="K114" s="534"/>
      <c r="L114" s="1226"/>
    </row>
    <row r="115" spans="2:12" s="109" customFormat="1" outlineLevel="1" thickBot="1">
      <c r="B115" s="1165"/>
      <c r="C115" s="1166"/>
      <c r="D115" s="395" t="s">
        <v>432</v>
      </c>
      <c r="E115" s="505" t="s">
        <v>191</v>
      </c>
      <c r="F115" s="468"/>
      <c r="G115" s="397">
        <v>100</v>
      </c>
      <c r="H115" s="397" t="s">
        <v>360</v>
      </c>
      <c r="I115" s="398">
        <f>+VLOOKUP(E115,'Line items'!$B$3:$D$117,3,FALSE)</f>
        <v>10</v>
      </c>
      <c r="J115" s="398">
        <f t="shared" ref="J115" si="23">+I115*G115</f>
        <v>1000</v>
      </c>
      <c r="K115" s="548">
        <f t="shared" ref="K115" si="24">+J115</f>
        <v>1000</v>
      </c>
      <c r="L115" s="1227"/>
    </row>
    <row r="116" spans="2:12" s="109" customFormat="1" thickBot="1">
      <c r="B116" s="499">
        <v>2.2000000000000002</v>
      </c>
      <c r="C116" s="1210" t="s">
        <v>37</v>
      </c>
      <c r="D116" s="1210"/>
      <c r="E116" s="1210"/>
      <c r="F116" s="500"/>
      <c r="G116" s="501"/>
      <c r="H116" s="501"/>
      <c r="I116" s="502"/>
      <c r="J116" s="502"/>
      <c r="K116" s="562"/>
      <c r="L116" s="563"/>
    </row>
    <row r="117" spans="2:12" s="109" customFormat="1" ht="13" outlineLevel="1">
      <c r="B117" s="1162" t="s">
        <v>536</v>
      </c>
      <c r="C117" s="1163"/>
      <c r="D117" s="400" t="s">
        <v>433</v>
      </c>
      <c r="E117" s="401" t="s">
        <v>88</v>
      </c>
      <c r="F117" s="469"/>
      <c r="G117" s="402"/>
      <c r="H117" s="402"/>
      <c r="I117" s="403"/>
      <c r="J117" s="403"/>
      <c r="K117" s="557"/>
      <c r="L117" s="1225">
        <f>+SUM(K117:K120)</f>
        <v>600</v>
      </c>
    </row>
    <row r="118" spans="2:12" s="109" customFormat="1" ht="13" outlineLevel="1">
      <c r="B118" s="1164"/>
      <c r="C118" s="1160"/>
      <c r="D118" s="373" t="s">
        <v>434</v>
      </c>
      <c r="E118" s="374" t="s">
        <v>88</v>
      </c>
      <c r="F118" s="467"/>
      <c r="G118" s="375"/>
      <c r="H118" s="375"/>
      <c r="I118" s="376"/>
      <c r="J118" s="376"/>
      <c r="K118" s="534"/>
      <c r="L118" s="1226"/>
    </row>
    <row r="119" spans="2:12" s="109" customFormat="1" ht="13" outlineLevel="1">
      <c r="B119" s="1164"/>
      <c r="C119" s="1160"/>
      <c r="D119" s="1249" t="s">
        <v>435</v>
      </c>
      <c r="E119" s="370" t="s">
        <v>707</v>
      </c>
      <c r="F119" s="467"/>
      <c r="G119" s="375">
        <v>4</v>
      </c>
      <c r="H119" s="375" t="s">
        <v>364</v>
      </c>
      <c r="I119" s="376">
        <f>+VLOOKUP(E119,'Line items'!$B$3:$D$117,3,FALSE)</f>
        <v>150</v>
      </c>
      <c r="J119" s="376">
        <f t="shared" ref="J119" si="25">+I119*G119</f>
        <v>600</v>
      </c>
      <c r="K119" s="1218">
        <f>+SUM(J119:J120)</f>
        <v>600</v>
      </c>
      <c r="L119" s="1226"/>
    </row>
    <row r="120" spans="2:12" s="109" customFormat="1" outlineLevel="1" thickBot="1">
      <c r="B120" s="1165"/>
      <c r="C120" s="1166"/>
      <c r="D120" s="1250"/>
      <c r="E120" s="396"/>
      <c r="F120" s="468"/>
      <c r="G120" s="397"/>
      <c r="H120" s="397"/>
      <c r="I120" s="398"/>
      <c r="J120" s="398"/>
      <c r="K120" s="1223"/>
      <c r="L120" s="1227"/>
    </row>
    <row r="121" spans="2:12" s="109" customFormat="1" ht="13" outlineLevel="1">
      <c r="B121" s="1162" t="s">
        <v>537</v>
      </c>
      <c r="C121" s="1163"/>
      <c r="D121" s="400" t="s">
        <v>436</v>
      </c>
      <c r="E121" s="401" t="s">
        <v>88</v>
      </c>
      <c r="F121" s="469"/>
      <c r="G121" s="402"/>
      <c r="H121" s="402"/>
      <c r="I121" s="403"/>
      <c r="J121" s="403"/>
      <c r="K121" s="557"/>
      <c r="L121" s="1225">
        <f>+SUM(K121:K124)</f>
        <v>10340</v>
      </c>
    </row>
    <row r="122" spans="2:12" s="109" customFormat="1" ht="13" outlineLevel="1">
      <c r="B122" s="1164"/>
      <c r="C122" s="1160"/>
      <c r="D122" s="373" t="s">
        <v>437</v>
      </c>
      <c r="E122" s="374" t="s">
        <v>88</v>
      </c>
      <c r="F122" s="467"/>
      <c r="G122" s="375"/>
      <c r="H122" s="375"/>
      <c r="I122" s="376"/>
      <c r="J122" s="376"/>
      <c r="K122" s="534"/>
      <c r="L122" s="1226"/>
    </row>
    <row r="123" spans="2:12" s="109" customFormat="1" ht="13" outlineLevel="1">
      <c r="B123" s="1164"/>
      <c r="C123" s="1160"/>
      <c r="D123" s="1249" t="s">
        <v>447</v>
      </c>
      <c r="E123" s="374" t="s">
        <v>319</v>
      </c>
      <c r="F123" s="467"/>
      <c r="G123" s="375"/>
      <c r="H123" s="375"/>
      <c r="I123" s="376">
        <v>0</v>
      </c>
      <c r="J123" s="376">
        <f t="shared" ref="J123:J127" si="26">+I123*G123</f>
        <v>0</v>
      </c>
      <c r="K123" s="1218">
        <f>+SUM(J123:J124)</f>
        <v>10340</v>
      </c>
      <c r="L123" s="1226"/>
    </row>
    <row r="124" spans="2:12" s="109" customFormat="1" outlineLevel="1" thickBot="1">
      <c r="B124" s="1165"/>
      <c r="C124" s="1166"/>
      <c r="D124" s="1250"/>
      <c r="E124" s="439" t="s">
        <v>727</v>
      </c>
      <c r="F124" s="468"/>
      <c r="G124" s="397">
        <v>1</v>
      </c>
      <c r="H124" s="397" t="s">
        <v>364</v>
      </c>
      <c r="I124" s="398">
        <f>+VLOOKUP(E124,'Line items'!$B$3:$D$117,3,FALSE)</f>
        <v>10340</v>
      </c>
      <c r="J124" s="398">
        <f t="shared" si="26"/>
        <v>10340</v>
      </c>
      <c r="K124" s="1223"/>
      <c r="L124" s="1227"/>
    </row>
    <row r="125" spans="2:12" s="109" customFormat="1" ht="13" outlineLevel="1">
      <c r="B125" s="1162" t="s">
        <v>538</v>
      </c>
      <c r="C125" s="1163"/>
      <c r="D125" s="1248" t="s">
        <v>438</v>
      </c>
      <c r="E125" s="401"/>
      <c r="F125" s="469"/>
      <c r="G125" s="402"/>
      <c r="H125" s="402"/>
      <c r="I125" s="403"/>
      <c r="J125" s="403"/>
      <c r="K125" s="1217">
        <f>+SUM(J125:J127)</f>
        <v>13340</v>
      </c>
      <c r="L125" s="1225">
        <f>+SUM(K125:K129)</f>
        <v>14340</v>
      </c>
    </row>
    <row r="126" spans="2:12" s="109" customFormat="1" ht="13" outlineLevel="1">
      <c r="B126" s="1164"/>
      <c r="C126" s="1160"/>
      <c r="D126" s="1249"/>
      <c r="E126" s="374" t="s">
        <v>346</v>
      </c>
      <c r="F126" s="467"/>
      <c r="G126" s="375">
        <v>100</v>
      </c>
      <c r="H126" s="375" t="s">
        <v>360</v>
      </c>
      <c r="I126" s="376">
        <f>+VLOOKUP(E126,'Line items'!$B$3:$D$117,3,FALSE)</f>
        <v>30</v>
      </c>
      <c r="J126" s="376">
        <f t="shared" si="26"/>
        <v>3000</v>
      </c>
      <c r="K126" s="1218"/>
      <c r="L126" s="1226"/>
    </row>
    <row r="127" spans="2:12" s="109" customFormat="1" ht="13" outlineLevel="1">
      <c r="B127" s="1164"/>
      <c r="C127" s="1160"/>
      <c r="D127" s="1249"/>
      <c r="E127" s="370" t="s">
        <v>727</v>
      </c>
      <c r="F127" s="467"/>
      <c r="G127" s="375">
        <v>1</v>
      </c>
      <c r="H127" s="375" t="s">
        <v>364</v>
      </c>
      <c r="I127" s="376">
        <f>+VLOOKUP(E127,'Line items'!$B$3:$D$117,3,FALSE)</f>
        <v>10340</v>
      </c>
      <c r="J127" s="376">
        <f t="shared" si="26"/>
        <v>10340</v>
      </c>
      <c r="K127" s="1218"/>
      <c r="L127" s="1226"/>
    </row>
    <row r="128" spans="2:12" s="109" customFormat="1" ht="13" outlineLevel="1">
      <c r="B128" s="1164"/>
      <c r="C128" s="1160"/>
      <c r="D128" s="373" t="s">
        <v>439</v>
      </c>
      <c r="E128" s="374" t="s">
        <v>88</v>
      </c>
      <c r="F128" s="467"/>
      <c r="G128" s="375"/>
      <c r="H128" s="375"/>
      <c r="I128" s="376"/>
      <c r="J128" s="376"/>
      <c r="K128" s="534"/>
      <c r="L128" s="1226"/>
    </row>
    <row r="129" spans="2:12" s="109" customFormat="1" outlineLevel="1" thickBot="1">
      <c r="B129" s="1165"/>
      <c r="C129" s="1166"/>
      <c r="D129" s="395" t="s">
        <v>440</v>
      </c>
      <c r="E129" s="439" t="s">
        <v>191</v>
      </c>
      <c r="F129" s="477"/>
      <c r="G129" s="440">
        <v>100</v>
      </c>
      <c r="H129" s="440" t="s">
        <v>360</v>
      </c>
      <c r="I129" s="398">
        <f>+VLOOKUP(E129,'Line items'!$B$3:$D$117,3,FALSE)</f>
        <v>10</v>
      </c>
      <c r="J129" s="408">
        <f t="shared" ref="J129" si="27">+I129*G129</f>
        <v>1000</v>
      </c>
      <c r="K129" s="550">
        <f t="shared" ref="K129" si="28">+J129</f>
        <v>1000</v>
      </c>
      <c r="L129" s="1227"/>
    </row>
    <row r="130" spans="2:12" s="109" customFormat="1" thickBot="1">
      <c r="B130" s="499">
        <v>2.2999999999999998</v>
      </c>
      <c r="C130" s="1210" t="s">
        <v>38</v>
      </c>
      <c r="D130" s="1210"/>
      <c r="E130" s="1210"/>
      <c r="F130" s="500"/>
      <c r="G130" s="501"/>
      <c r="H130" s="501"/>
      <c r="I130" s="502"/>
      <c r="J130" s="502"/>
      <c r="K130" s="562"/>
      <c r="L130" s="563"/>
    </row>
    <row r="131" spans="2:12" s="109" customFormat="1" ht="13" outlineLevel="1">
      <c r="B131" s="1162" t="s">
        <v>539</v>
      </c>
      <c r="C131" s="1163"/>
      <c r="D131" s="400" t="s">
        <v>441</v>
      </c>
      <c r="E131" s="392" t="s">
        <v>321</v>
      </c>
      <c r="F131" s="465"/>
      <c r="G131" s="393">
        <v>100</v>
      </c>
      <c r="H131" s="393" t="s">
        <v>360</v>
      </c>
      <c r="I131" s="403">
        <f>+VLOOKUP(E131,'Line items'!$B$3:$D$117,3,FALSE)</f>
        <v>10</v>
      </c>
      <c r="J131" s="394">
        <f t="shared" ref="J131" si="29">+I131*G131</f>
        <v>1000</v>
      </c>
      <c r="K131" s="552">
        <f t="shared" ref="K131" si="30">+J131</f>
        <v>1000</v>
      </c>
      <c r="L131" s="1225">
        <f>+SUM(K131:K135)</f>
        <v>41000</v>
      </c>
    </row>
    <row r="132" spans="2:12" s="109" customFormat="1" ht="13" outlineLevel="1">
      <c r="B132" s="1164"/>
      <c r="C132" s="1160"/>
      <c r="D132" s="373" t="s">
        <v>442</v>
      </c>
      <c r="E132" s="374" t="s">
        <v>88</v>
      </c>
      <c r="F132" s="467"/>
      <c r="G132" s="375"/>
      <c r="H132" s="375"/>
      <c r="I132" s="376"/>
      <c r="J132" s="376"/>
      <c r="K132" s="534"/>
      <c r="L132" s="1226"/>
    </row>
    <row r="133" spans="2:12" s="109" customFormat="1" ht="13" outlineLevel="1">
      <c r="B133" s="1164"/>
      <c r="C133" s="1160"/>
      <c r="D133" s="1249" t="s">
        <v>443</v>
      </c>
      <c r="E133" s="374" t="s">
        <v>647</v>
      </c>
      <c r="F133" s="467"/>
      <c r="G133" s="375">
        <v>4000</v>
      </c>
      <c r="H133" s="375" t="s">
        <v>95</v>
      </c>
      <c r="I133" s="376">
        <f>+VLOOKUP(E133,'Line items'!$B$3:$D$117,3,FALSE)</f>
        <v>10</v>
      </c>
      <c r="J133" s="376">
        <f t="shared" ref="J133:J136" si="31">+I133*G133</f>
        <v>40000</v>
      </c>
      <c r="K133" s="1218">
        <f>+SUM(J133:J135)</f>
        <v>40000</v>
      </c>
      <c r="L133" s="1226"/>
    </row>
    <row r="134" spans="2:12" s="109" customFormat="1" ht="13" outlineLevel="1">
      <c r="B134" s="1164"/>
      <c r="C134" s="1160"/>
      <c r="D134" s="1249"/>
      <c r="E134" s="374"/>
      <c r="F134" s="467"/>
      <c r="G134" s="375"/>
      <c r="H134" s="375"/>
      <c r="I134" s="376"/>
      <c r="J134" s="376"/>
      <c r="K134" s="1218"/>
      <c r="L134" s="1226"/>
    </row>
    <row r="135" spans="2:12" s="109" customFormat="1" outlineLevel="1" thickBot="1">
      <c r="B135" s="1165"/>
      <c r="C135" s="1166"/>
      <c r="D135" s="1250"/>
      <c r="E135" s="505"/>
      <c r="F135" s="468"/>
      <c r="G135" s="397"/>
      <c r="H135" s="397"/>
      <c r="I135" s="398"/>
      <c r="J135" s="398"/>
      <c r="K135" s="1223"/>
      <c r="L135" s="1227"/>
    </row>
    <row r="136" spans="2:12" s="109" customFormat="1" ht="13" outlineLevel="1">
      <c r="B136" s="1162" t="s">
        <v>540</v>
      </c>
      <c r="C136" s="1163"/>
      <c r="D136" s="400" t="s">
        <v>444</v>
      </c>
      <c r="E136" s="401" t="s">
        <v>321</v>
      </c>
      <c r="F136" s="469"/>
      <c r="G136" s="402">
        <v>100</v>
      </c>
      <c r="H136" s="402" t="s">
        <v>360</v>
      </c>
      <c r="I136" s="403">
        <f>+VLOOKUP(E136,'Line items'!$B$3:$D$117,3,FALSE)</f>
        <v>10</v>
      </c>
      <c r="J136" s="403">
        <f t="shared" si="31"/>
        <v>1000</v>
      </c>
      <c r="K136" s="549">
        <f t="shared" ref="K136" si="32">+J136</f>
        <v>1000</v>
      </c>
      <c r="L136" s="1225">
        <f>+SUM(K136:K140)</f>
        <v>41000</v>
      </c>
    </row>
    <row r="137" spans="2:12" s="109" customFormat="1" ht="13" outlineLevel="1">
      <c r="B137" s="1164"/>
      <c r="C137" s="1160"/>
      <c r="D137" s="373" t="s">
        <v>445</v>
      </c>
      <c r="E137" s="374" t="s">
        <v>88</v>
      </c>
      <c r="F137" s="467"/>
      <c r="G137" s="375"/>
      <c r="H137" s="375"/>
      <c r="I137" s="376"/>
      <c r="J137" s="376"/>
      <c r="K137" s="534"/>
      <c r="L137" s="1226"/>
    </row>
    <row r="138" spans="2:12" s="109" customFormat="1" ht="13" outlineLevel="1">
      <c r="B138" s="1164"/>
      <c r="C138" s="1160"/>
      <c r="D138" s="1249" t="s">
        <v>446</v>
      </c>
      <c r="E138" s="374" t="s">
        <v>647</v>
      </c>
      <c r="F138" s="467"/>
      <c r="G138" s="375">
        <v>4000</v>
      </c>
      <c r="H138" s="375" t="s">
        <v>95</v>
      </c>
      <c r="I138" s="376">
        <f>+VLOOKUP(E138,'Line items'!$B$3:$D$117,3,FALSE)</f>
        <v>10</v>
      </c>
      <c r="J138" s="376">
        <f t="shared" ref="J138" si="33">+I138*G138</f>
        <v>40000</v>
      </c>
      <c r="K138" s="1218">
        <f>+SUM(J138:J140)</f>
        <v>40000</v>
      </c>
      <c r="L138" s="1226"/>
    </row>
    <row r="139" spans="2:12" s="109" customFormat="1" ht="13" outlineLevel="1">
      <c r="B139" s="1164"/>
      <c r="C139" s="1160"/>
      <c r="D139" s="1249"/>
      <c r="E139" s="374"/>
      <c r="F139" s="467"/>
      <c r="G139" s="375"/>
      <c r="H139" s="375"/>
      <c r="I139" s="376"/>
      <c r="J139" s="376"/>
      <c r="K139" s="1218"/>
      <c r="L139" s="1226"/>
    </row>
    <row r="140" spans="2:12" s="109" customFormat="1" outlineLevel="1" thickBot="1">
      <c r="B140" s="1172"/>
      <c r="C140" s="1161"/>
      <c r="D140" s="1256"/>
      <c r="E140" s="487"/>
      <c r="F140" s="470"/>
      <c r="G140" s="383"/>
      <c r="H140" s="383"/>
      <c r="I140" s="384"/>
      <c r="J140" s="384"/>
      <c r="K140" s="1255"/>
      <c r="L140" s="1228"/>
    </row>
    <row r="141" spans="2:12" s="109" customFormat="1" thickBot="1">
      <c r="B141" s="510">
        <v>3</v>
      </c>
      <c r="C141" s="511" t="s">
        <v>53</v>
      </c>
      <c r="D141" s="512"/>
      <c r="E141" s="513"/>
      <c r="F141" s="514"/>
      <c r="G141" s="515"/>
      <c r="H141" s="515"/>
      <c r="I141" s="516"/>
      <c r="J141" s="516"/>
      <c r="K141" s="564"/>
      <c r="L141" s="565"/>
    </row>
    <row r="142" spans="2:12" s="109" customFormat="1" thickBot="1">
      <c r="B142" s="519">
        <v>3.1</v>
      </c>
      <c r="C142" s="1173" t="s">
        <v>42</v>
      </c>
      <c r="D142" s="1173"/>
      <c r="E142" s="1173"/>
      <c r="F142" s="520"/>
      <c r="G142" s="521"/>
      <c r="H142" s="521"/>
      <c r="I142" s="522"/>
      <c r="J142" s="522"/>
      <c r="K142" s="566"/>
      <c r="L142" s="567"/>
    </row>
    <row r="143" spans="2:12" s="109" customFormat="1" ht="13" outlineLevel="1">
      <c r="B143" s="1162" t="s">
        <v>541</v>
      </c>
      <c r="C143" s="1163"/>
      <c r="D143" s="1248" t="s">
        <v>448</v>
      </c>
      <c r="E143" s="392" t="s">
        <v>324</v>
      </c>
      <c r="F143" s="465"/>
      <c r="G143" s="393">
        <v>1</v>
      </c>
      <c r="H143" s="393" t="s">
        <v>364</v>
      </c>
      <c r="I143" s="403">
        <f>+VLOOKUP(E143,'Line items'!$B$3:$D$117,3,FALSE)</f>
        <v>2500</v>
      </c>
      <c r="J143" s="394">
        <f t="shared" ref="J143:J144" si="34">+I143*G143</f>
        <v>2500</v>
      </c>
      <c r="K143" s="1219">
        <f>+SUM(J143:J144)</f>
        <v>23500</v>
      </c>
      <c r="L143" s="1225">
        <f>+SUM(K143:K146)</f>
        <v>59500</v>
      </c>
    </row>
    <row r="144" spans="2:12" s="109" customFormat="1" ht="13" outlineLevel="1">
      <c r="B144" s="1164"/>
      <c r="C144" s="1160"/>
      <c r="D144" s="1249"/>
      <c r="E144" s="370" t="s">
        <v>715</v>
      </c>
      <c r="F144" s="466"/>
      <c r="G144" s="371">
        <v>300</v>
      </c>
      <c r="H144" s="371" t="s">
        <v>360</v>
      </c>
      <c r="I144" s="376">
        <f>+VLOOKUP(E144,'Line items'!$B$3:$D$117,3,FALSE)</f>
        <v>70</v>
      </c>
      <c r="J144" s="372">
        <f t="shared" si="34"/>
        <v>21000</v>
      </c>
      <c r="K144" s="1220"/>
      <c r="L144" s="1226"/>
    </row>
    <row r="145" spans="2:12" s="109" customFormat="1" ht="13" outlineLevel="1">
      <c r="B145" s="1164"/>
      <c r="C145" s="1160"/>
      <c r="D145" s="373" t="s">
        <v>449</v>
      </c>
      <c r="E145" s="374" t="s">
        <v>88</v>
      </c>
      <c r="F145" s="467"/>
      <c r="G145" s="375"/>
      <c r="H145" s="375"/>
      <c r="I145" s="376"/>
      <c r="J145" s="376"/>
      <c r="K145" s="534"/>
      <c r="L145" s="1226"/>
    </row>
    <row r="146" spans="2:12" s="109" customFormat="1" outlineLevel="1" thickBot="1">
      <c r="B146" s="1165"/>
      <c r="C146" s="1166"/>
      <c r="D146" s="395" t="s">
        <v>450</v>
      </c>
      <c r="E146" s="396" t="s">
        <v>723</v>
      </c>
      <c r="F146" s="468"/>
      <c r="G146" s="397">
        <v>300</v>
      </c>
      <c r="H146" s="397" t="s">
        <v>360</v>
      </c>
      <c r="I146" s="398">
        <f>+VLOOKUP(E146,'Line items'!$B$3:$D$117,3,FALSE)</f>
        <v>120</v>
      </c>
      <c r="J146" s="398">
        <f t="shared" ref="J146" si="35">+I146*G146</f>
        <v>36000</v>
      </c>
      <c r="K146" s="548">
        <f t="shared" ref="K146" si="36">+J146</f>
        <v>36000</v>
      </c>
      <c r="L146" s="1227"/>
    </row>
    <row r="147" spans="2:12" s="109" customFormat="1" thickBot="1">
      <c r="B147" s="519">
        <v>3.2</v>
      </c>
      <c r="C147" s="1173" t="s">
        <v>43</v>
      </c>
      <c r="D147" s="1173"/>
      <c r="E147" s="1173"/>
      <c r="F147" s="520"/>
      <c r="G147" s="521"/>
      <c r="H147" s="521"/>
      <c r="I147" s="522"/>
      <c r="J147" s="522"/>
      <c r="K147" s="566"/>
      <c r="L147" s="567"/>
    </row>
    <row r="148" spans="2:12" s="109" customFormat="1" ht="13" outlineLevel="1">
      <c r="B148" s="1162" t="s">
        <v>542</v>
      </c>
      <c r="C148" s="1163"/>
      <c r="D148" s="1246" t="s">
        <v>451</v>
      </c>
      <c r="E148" s="401" t="s">
        <v>88</v>
      </c>
      <c r="F148" s="469"/>
      <c r="G148" s="402"/>
      <c r="H148" s="402"/>
      <c r="I148" s="403"/>
      <c r="J148" s="403"/>
      <c r="K148" s="1217">
        <f>+SUM(J148:J150)</f>
        <v>0</v>
      </c>
      <c r="L148" s="1225">
        <f>+SUM(K148:K152)</f>
        <v>0</v>
      </c>
    </row>
    <row r="149" spans="2:12" s="109" customFormat="1" ht="13" outlineLevel="1">
      <c r="B149" s="1164"/>
      <c r="C149" s="1160"/>
      <c r="D149" s="1247"/>
      <c r="E149" s="374" t="s">
        <v>88</v>
      </c>
      <c r="F149" s="467"/>
      <c r="G149" s="375"/>
      <c r="H149" s="375"/>
      <c r="I149" s="376"/>
      <c r="J149" s="376"/>
      <c r="K149" s="1218"/>
      <c r="L149" s="1226"/>
    </row>
    <row r="150" spans="2:12" s="109" customFormat="1" ht="13" outlineLevel="1">
      <c r="B150" s="1164"/>
      <c r="C150" s="1160"/>
      <c r="D150" s="1247"/>
      <c r="E150" s="374" t="s">
        <v>88</v>
      </c>
      <c r="F150" s="467"/>
      <c r="G150" s="375"/>
      <c r="H150" s="375"/>
      <c r="I150" s="376"/>
      <c r="J150" s="376"/>
      <c r="K150" s="1218"/>
      <c r="L150" s="1226"/>
    </row>
    <row r="151" spans="2:12" s="109" customFormat="1" ht="13" outlineLevel="1">
      <c r="B151" s="1164"/>
      <c r="C151" s="1160"/>
      <c r="D151" s="373" t="s">
        <v>452</v>
      </c>
      <c r="E151" s="374" t="s">
        <v>88</v>
      </c>
      <c r="F151" s="467"/>
      <c r="G151" s="375"/>
      <c r="H151" s="375"/>
      <c r="I151" s="376"/>
      <c r="J151" s="376"/>
      <c r="K151" s="534"/>
      <c r="L151" s="1226"/>
    </row>
    <row r="152" spans="2:12" s="109" customFormat="1" outlineLevel="1" thickBot="1">
      <c r="B152" s="1165"/>
      <c r="C152" s="1166"/>
      <c r="D152" s="395" t="s">
        <v>453</v>
      </c>
      <c r="E152" s="396" t="s">
        <v>88</v>
      </c>
      <c r="F152" s="468"/>
      <c r="G152" s="397"/>
      <c r="H152" s="397"/>
      <c r="I152" s="398"/>
      <c r="J152" s="398"/>
      <c r="K152" s="548">
        <f t="shared" ref="K152" si="37">+J152</f>
        <v>0</v>
      </c>
      <c r="L152" s="1227"/>
    </row>
    <row r="153" spans="2:12" s="109" customFormat="1" ht="13" outlineLevel="1">
      <c r="B153" s="1162" t="s">
        <v>543</v>
      </c>
      <c r="C153" s="1163"/>
      <c r="D153" s="1248" t="s">
        <v>454</v>
      </c>
      <c r="E153" s="401" t="s">
        <v>88</v>
      </c>
      <c r="F153" s="469"/>
      <c r="G153" s="402"/>
      <c r="H153" s="402"/>
      <c r="I153" s="403"/>
      <c r="J153" s="403"/>
      <c r="K153" s="1217">
        <f>+SUM(J153:J154)</f>
        <v>0</v>
      </c>
      <c r="L153" s="1225">
        <f>+SUM(K153:K156)</f>
        <v>0</v>
      </c>
    </row>
    <row r="154" spans="2:12" s="109" customFormat="1" ht="13" outlineLevel="1">
      <c r="B154" s="1164"/>
      <c r="C154" s="1160"/>
      <c r="D154" s="1249"/>
      <c r="E154" s="374" t="s">
        <v>88</v>
      </c>
      <c r="F154" s="467"/>
      <c r="G154" s="375"/>
      <c r="H154" s="375"/>
      <c r="I154" s="376"/>
      <c r="J154" s="376"/>
      <c r="K154" s="1218"/>
      <c r="L154" s="1226"/>
    </row>
    <row r="155" spans="2:12" s="109" customFormat="1" ht="13" outlineLevel="1">
      <c r="B155" s="1164"/>
      <c r="C155" s="1160"/>
      <c r="D155" s="373" t="s">
        <v>455</v>
      </c>
      <c r="E155" s="374" t="s">
        <v>88</v>
      </c>
      <c r="F155" s="467"/>
      <c r="G155" s="375"/>
      <c r="H155" s="375"/>
      <c r="I155" s="376"/>
      <c r="J155" s="376"/>
      <c r="K155" s="532">
        <f t="shared" ref="K155:K156" si="38">+J155</f>
        <v>0</v>
      </c>
      <c r="L155" s="1226"/>
    </row>
    <row r="156" spans="2:12" s="109" customFormat="1" outlineLevel="1" thickBot="1">
      <c r="B156" s="1165"/>
      <c r="C156" s="1166"/>
      <c r="D156" s="395" t="s">
        <v>456</v>
      </c>
      <c r="E156" s="396" t="s">
        <v>88</v>
      </c>
      <c r="F156" s="468"/>
      <c r="G156" s="397"/>
      <c r="H156" s="397"/>
      <c r="I156" s="398"/>
      <c r="J156" s="398"/>
      <c r="K156" s="548">
        <f t="shared" si="38"/>
        <v>0</v>
      </c>
      <c r="L156" s="1227"/>
    </row>
    <row r="157" spans="2:12" s="109" customFormat="1" ht="13" outlineLevel="1">
      <c r="B157" s="1162" t="s">
        <v>544</v>
      </c>
      <c r="C157" s="1163"/>
      <c r="D157" s="400" t="s">
        <v>457</v>
      </c>
      <c r="E157" s="401" t="s">
        <v>88</v>
      </c>
      <c r="F157" s="469"/>
      <c r="G157" s="402"/>
      <c r="H157" s="402"/>
      <c r="I157" s="403"/>
      <c r="J157" s="403"/>
      <c r="K157" s="557"/>
      <c r="L157" s="1225">
        <f>+SUM(K157:K159)</f>
        <v>2000</v>
      </c>
    </row>
    <row r="158" spans="2:12" s="109" customFormat="1" ht="13" outlineLevel="1">
      <c r="B158" s="1164"/>
      <c r="C158" s="1160"/>
      <c r="D158" s="373" t="s">
        <v>458</v>
      </c>
      <c r="E158" s="374" t="s">
        <v>88</v>
      </c>
      <c r="F158" s="467"/>
      <c r="G158" s="375"/>
      <c r="H158" s="375"/>
      <c r="I158" s="376"/>
      <c r="J158" s="376"/>
      <c r="K158" s="534"/>
      <c r="L158" s="1226"/>
    </row>
    <row r="159" spans="2:12" s="109" customFormat="1" outlineLevel="1" thickBot="1">
      <c r="B159" s="1172"/>
      <c r="C159" s="1161"/>
      <c r="D159" s="381" t="s">
        <v>459</v>
      </c>
      <c r="E159" s="382" t="s">
        <v>326</v>
      </c>
      <c r="F159" s="470"/>
      <c r="G159" s="383">
        <v>1</v>
      </c>
      <c r="H159" s="383" t="s">
        <v>358</v>
      </c>
      <c r="I159" s="384">
        <f>+VLOOKUP(E159,'Line items'!$B$3:$D$117,3,FALSE)</f>
        <v>2000</v>
      </c>
      <c r="J159" s="384">
        <f t="shared" ref="J159" si="39">+I159*G159</f>
        <v>2000</v>
      </c>
      <c r="K159" s="541">
        <f t="shared" ref="K159" si="40">+J159</f>
        <v>2000</v>
      </c>
      <c r="L159" s="1228"/>
    </row>
    <row r="160" spans="2:12" s="109" customFormat="1" thickBot="1">
      <c r="B160" s="519">
        <v>3.3</v>
      </c>
      <c r="C160" s="1173" t="s">
        <v>44</v>
      </c>
      <c r="D160" s="1173"/>
      <c r="E160" s="1173"/>
      <c r="F160" s="520"/>
      <c r="G160" s="521"/>
      <c r="H160" s="521"/>
      <c r="I160" s="522"/>
      <c r="J160" s="522"/>
      <c r="K160" s="566"/>
      <c r="L160" s="567"/>
    </row>
    <row r="161" spans="2:12" s="109" customFormat="1" ht="13" outlineLevel="1">
      <c r="B161" s="1162" t="s">
        <v>545</v>
      </c>
      <c r="C161" s="1163"/>
      <c r="D161" s="1246" t="s">
        <v>460</v>
      </c>
      <c r="E161" s="401" t="s">
        <v>327</v>
      </c>
      <c r="F161" s="469"/>
      <c r="G161" s="402"/>
      <c r="H161" s="402"/>
      <c r="I161" s="403">
        <v>0</v>
      </c>
      <c r="J161" s="403">
        <f t="shared" ref="J161:J163" si="41">+I161*G161</f>
        <v>0</v>
      </c>
      <c r="K161" s="1219">
        <f>+SUM(J161:J163)</f>
        <v>0</v>
      </c>
      <c r="L161" s="1225">
        <f>+SUM(K161:K165)</f>
        <v>0</v>
      </c>
    </row>
    <row r="162" spans="2:12" s="109" customFormat="1" ht="13" outlineLevel="1">
      <c r="B162" s="1164"/>
      <c r="C162" s="1160"/>
      <c r="D162" s="1247"/>
      <c r="E162" s="374" t="s">
        <v>328</v>
      </c>
      <c r="F162" s="467"/>
      <c r="G162" s="375"/>
      <c r="H162" s="375"/>
      <c r="I162" s="376">
        <v>0</v>
      </c>
      <c r="J162" s="376">
        <f t="shared" si="41"/>
        <v>0</v>
      </c>
      <c r="K162" s="1220"/>
      <c r="L162" s="1226"/>
    </row>
    <row r="163" spans="2:12" s="109" customFormat="1" ht="13" outlineLevel="1">
      <c r="B163" s="1164"/>
      <c r="C163" s="1160"/>
      <c r="D163" s="1247"/>
      <c r="E163" s="374" t="s">
        <v>329</v>
      </c>
      <c r="F163" s="467"/>
      <c r="G163" s="375"/>
      <c r="H163" s="375"/>
      <c r="I163" s="376">
        <v>0</v>
      </c>
      <c r="J163" s="376">
        <f t="shared" si="41"/>
        <v>0</v>
      </c>
      <c r="K163" s="1220"/>
      <c r="L163" s="1226"/>
    </row>
    <row r="164" spans="2:12" s="109" customFormat="1" ht="13" outlineLevel="1">
      <c r="B164" s="1164"/>
      <c r="C164" s="1160"/>
      <c r="D164" s="373" t="s">
        <v>461</v>
      </c>
      <c r="E164" s="374" t="s">
        <v>88</v>
      </c>
      <c r="F164" s="467"/>
      <c r="G164" s="375"/>
      <c r="H164" s="375"/>
      <c r="I164" s="376"/>
      <c r="J164" s="376"/>
      <c r="K164" s="534"/>
      <c r="L164" s="1226"/>
    </row>
    <row r="165" spans="2:12" s="109" customFormat="1" outlineLevel="1" thickBot="1">
      <c r="B165" s="1165"/>
      <c r="C165" s="1166"/>
      <c r="D165" s="395" t="s">
        <v>462</v>
      </c>
      <c r="E165" s="396" t="s">
        <v>202</v>
      </c>
      <c r="F165" s="468"/>
      <c r="G165" s="397"/>
      <c r="H165" s="397"/>
      <c r="I165" s="398">
        <v>0</v>
      </c>
      <c r="J165" s="398">
        <f t="shared" ref="J165:J167" si="42">+I165*G165</f>
        <v>0</v>
      </c>
      <c r="K165" s="550">
        <f t="shared" ref="K165" si="43">+J165</f>
        <v>0</v>
      </c>
      <c r="L165" s="1227"/>
    </row>
    <row r="166" spans="2:12" s="109" customFormat="1" ht="13" outlineLevel="1">
      <c r="B166" s="1162" t="s">
        <v>546</v>
      </c>
      <c r="C166" s="1163"/>
      <c r="D166" s="1246" t="s">
        <v>463</v>
      </c>
      <c r="E166" s="401" t="s">
        <v>718</v>
      </c>
      <c r="F166" s="469"/>
      <c r="G166" s="402">
        <v>300</v>
      </c>
      <c r="H166" s="402" t="s">
        <v>360</v>
      </c>
      <c r="I166" s="403">
        <f>+VLOOKUP(E166,'Line items'!$B$3:$D$117,3,FALSE)</f>
        <v>10</v>
      </c>
      <c r="J166" s="403">
        <f t="shared" si="42"/>
        <v>3000</v>
      </c>
      <c r="K166" s="1217">
        <f>+SUM(J166:J167)</f>
        <v>4040</v>
      </c>
      <c r="L166" s="1225">
        <f>+SUM(K166:K169)</f>
        <v>5080</v>
      </c>
    </row>
    <row r="167" spans="2:12" s="109" customFormat="1" ht="13" outlineLevel="1">
      <c r="B167" s="1164"/>
      <c r="C167" s="1160"/>
      <c r="D167" s="1247"/>
      <c r="E167" s="374" t="s">
        <v>330</v>
      </c>
      <c r="F167" s="467"/>
      <c r="G167" s="375">
        <v>8</v>
      </c>
      <c r="H167" s="375" t="s">
        <v>364</v>
      </c>
      <c r="I167" s="376">
        <f>+VLOOKUP(E167,'Line items'!$B$3:$D$117,3,FALSE)</f>
        <v>130</v>
      </c>
      <c r="J167" s="376">
        <f t="shared" si="42"/>
        <v>1040</v>
      </c>
      <c r="K167" s="1218"/>
      <c r="L167" s="1226"/>
    </row>
    <row r="168" spans="2:12" s="109" customFormat="1" ht="13" outlineLevel="1">
      <c r="B168" s="1164"/>
      <c r="C168" s="1160"/>
      <c r="D168" s="373" t="s">
        <v>464</v>
      </c>
      <c r="E168" s="374" t="s">
        <v>88</v>
      </c>
      <c r="F168" s="467"/>
      <c r="G168" s="375"/>
      <c r="H168" s="375"/>
      <c r="I168" s="376"/>
      <c r="J168" s="376"/>
      <c r="K168" s="534"/>
      <c r="L168" s="1226"/>
    </row>
    <row r="169" spans="2:12" s="109" customFormat="1" outlineLevel="1" thickBot="1">
      <c r="B169" s="1165"/>
      <c r="C169" s="1166"/>
      <c r="D169" s="395" t="s">
        <v>465</v>
      </c>
      <c r="E169" s="396" t="s">
        <v>330</v>
      </c>
      <c r="F169" s="468"/>
      <c r="G169" s="397">
        <v>8</v>
      </c>
      <c r="H169" s="397" t="s">
        <v>364</v>
      </c>
      <c r="I169" s="398">
        <f>+VLOOKUP(E169,'Line items'!$B$3:$D$117,3,FALSE)</f>
        <v>130</v>
      </c>
      <c r="J169" s="398">
        <f t="shared" ref="J169:J172" si="44">+I169*G169</f>
        <v>1040</v>
      </c>
      <c r="K169" s="548">
        <f t="shared" ref="K169" si="45">+J169</f>
        <v>1040</v>
      </c>
      <c r="L169" s="1227"/>
    </row>
    <row r="170" spans="2:12" s="109" customFormat="1" ht="13" outlineLevel="1">
      <c r="B170" s="1162" t="s">
        <v>547</v>
      </c>
      <c r="C170" s="1163"/>
      <c r="D170" s="1248" t="s">
        <v>466</v>
      </c>
      <c r="E170" s="401" t="s">
        <v>331</v>
      </c>
      <c r="F170" s="469"/>
      <c r="G170" s="402"/>
      <c r="H170" s="402">
        <v>0</v>
      </c>
      <c r="I170" s="403">
        <v>0</v>
      </c>
      <c r="J170" s="403">
        <f t="shared" si="44"/>
        <v>0</v>
      </c>
      <c r="K170" s="1217">
        <f>+SUM(J170:J172)</f>
        <v>4040</v>
      </c>
      <c r="L170" s="1225">
        <f>+SUM(K170:K174)</f>
        <v>5080</v>
      </c>
    </row>
    <row r="171" spans="2:12" s="109" customFormat="1" ht="13" outlineLevel="1">
      <c r="B171" s="1164"/>
      <c r="C171" s="1160"/>
      <c r="D171" s="1249"/>
      <c r="E171" s="374" t="s">
        <v>718</v>
      </c>
      <c r="F171" s="467"/>
      <c r="G171" s="375">
        <v>300</v>
      </c>
      <c r="H171" s="375" t="s">
        <v>360</v>
      </c>
      <c r="I171" s="376">
        <f>+VLOOKUP(E171,'Line items'!$B$3:$D$117,3,FALSE)</f>
        <v>10</v>
      </c>
      <c r="J171" s="376">
        <f t="shared" si="44"/>
        <v>3000</v>
      </c>
      <c r="K171" s="1218"/>
      <c r="L171" s="1226"/>
    </row>
    <row r="172" spans="2:12" s="109" customFormat="1" ht="13" outlineLevel="1">
      <c r="B172" s="1164"/>
      <c r="C172" s="1160"/>
      <c r="D172" s="1249"/>
      <c r="E172" s="374" t="s">
        <v>330</v>
      </c>
      <c r="F172" s="467"/>
      <c r="G172" s="375">
        <v>8</v>
      </c>
      <c r="H172" s="375" t="s">
        <v>364</v>
      </c>
      <c r="I172" s="376">
        <f>+VLOOKUP(E172,'Line items'!$B$3:$D$117,3,FALSE)</f>
        <v>130</v>
      </c>
      <c r="J172" s="376">
        <f t="shared" si="44"/>
        <v>1040</v>
      </c>
      <c r="K172" s="1218"/>
      <c r="L172" s="1226"/>
    </row>
    <row r="173" spans="2:12" s="109" customFormat="1" ht="13" outlineLevel="1">
      <c r="B173" s="1164"/>
      <c r="C173" s="1160"/>
      <c r="D173" s="373" t="s">
        <v>467</v>
      </c>
      <c r="E173" s="374" t="s">
        <v>88</v>
      </c>
      <c r="F173" s="467"/>
      <c r="G173" s="375"/>
      <c r="H173" s="375"/>
      <c r="I173" s="376"/>
      <c r="J173" s="376"/>
      <c r="K173" s="534"/>
      <c r="L173" s="1226"/>
    </row>
    <row r="174" spans="2:12" s="109" customFormat="1" outlineLevel="1" thickBot="1">
      <c r="B174" s="1172"/>
      <c r="C174" s="1161"/>
      <c r="D174" s="381" t="s">
        <v>468</v>
      </c>
      <c r="E174" s="382" t="s">
        <v>330</v>
      </c>
      <c r="F174" s="470"/>
      <c r="G174" s="383">
        <v>8</v>
      </c>
      <c r="H174" s="383" t="s">
        <v>364</v>
      </c>
      <c r="I174" s="384">
        <f>+VLOOKUP(E174,'Line items'!$B$3:$D$117,3,FALSE)</f>
        <v>130</v>
      </c>
      <c r="J174" s="384">
        <f t="shared" ref="J174" si="46">+I174*G174</f>
        <v>1040</v>
      </c>
      <c r="K174" s="541">
        <f t="shared" ref="K174" si="47">+J174</f>
        <v>1040</v>
      </c>
      <c r="L174" s="1228"/>
    </row>
    <row r="175" spans="2:12" s="109" customFormat="1" thickBot="1">
      <c r="B175" s="519">
        <v>3.4</v>
      </c>
      <c r="C175" s="1173" t="s">
        <v>45</v>
      </c>
      <c r="D175" s="1173"/>
      <c r="E175" s="1173"/>
      <c r="F175" s="520"/>
      <c r="G175" s="521"/>
      <c r="H175" s="521"/>
      <c r="I175" s="522"/>
      <c r="J175" s="522"/>
      <c r="K175" s="566"/>
      <c r="L175" s="567"/>
    </row>
    <row r="176" spans="2:12" s="109" customFormat="1" ht="13" outlineLevel="1">
      <c r="B176" s="1162" t="s">
        <v>548</v>
      </c>
      <c r="C176" s="1163"/>
      <c r="D176" s="400" t="s">
        <v>469</v>
      </c>
      <c r="E176" s="401" t="s">
        <v>88</v>
      </c>
      <c r="F176" s="469"/>
      <c r="G176" s="402"/>
      <c r="H176" s="402"/>
      <c r="I176" s="403"/>
      <c r="J176" s="403"/>
      <c r="K176" s="557"/>
      <c r="L176" s="1225">
        <f>+SUM(K176:K178)</f>
        <v>0</v>
      </c>
    </row>
    <row r="177" spans="2:12" s="109" customFormat="1" ht="13" outlineLevel="1">
      <c r="B177" s="1164"/>
      <c r="C177" s="1160"/>
      <c r="D177" s="373" t="s">
        <v>470</v>
      </c>
      <c r="E177" s="374" t="s">
        <v>88</v>
      </c>
      <c r="F177" s="467"/>
      <c r="G177" s="375"/>
      <c r="H177" s="375"/>
      <c r="I177" s="376"/>
      <c r="J177" s="376"/>
      <c r="K177" s="534"/>
      <c r="L177" s="1226"/>
    </row>
    <row r="178" spans="2:12" s="109" customFormat="1" outlineLevel="1" thickBot="1">
      <c r="B178" s="1165"/>
      <c r="C178" s="1166"/>
      <c r="D178" s="395" t="s">
        <v>471</v>
      </c>
      <c r="E178" s="396" t="s">
        <v>88</v>
      </c>
      <c r="F178" s="468"/>
      <c r="G178" s="397"/>
      <c r="H178" s="397"/>
      <c r="I178" s="398"/>
      <c r="J178" s="398"/>
      <c r="K178" s="551"/>
      <c r="L178" s="1227"/>
    </row>
    <row r="179" spans="2:12" s="109" customFormat="1" ht="13" outlineLevel="1">
      <c r="B179" s="1162" t="s">
        <v>549</v>
      </c>
      <c r="C179" s="1163"/>
      <c r="D179" s="400" t="s">
        <v>472</v>
      </c>
      <c r="E179" s="401" t="s">
        <v>88</v>
      </c>
      <c r="F179" s="469"/>
      <c r="G179" s="402"/>
      <c r="H179" s="402"/>
      <c r="I179" s="403"/>
      <c r="J179" s="403"/>
      <c r="K179" s="557"/>
      <c r="L179" s="1225">
        <f>+SUM(K179:K181)</f>
        <v>0</v>
      </c>
    </row>
    <row r="180" spans="2:12" s="109" customFormat="1" ht="13" outlineLevel="1">
      <c r="B180" s="1164"/>
      <c r="C180" s="1160"/>
      <c r="D180" s="373" t="s">
        <v>473</v>
      </c>
      <c r="E180" s="374" t="s">
        <v>88</v>
      </c>
      <c r="F180" s="467"/>
      <c r="G180" s="375"/>
      <c r="H180" s="375"/>
      <c r="I180" s="376"/>
      <c r="J180" s="376"/>
      <c r="K180" s="534"/>
      <c r="L180" s="1226"/>
    </row>
    <row r="181" spans="2:12" s="109" customFormat="1" outlineLevel="1" thickBot="1">
      <c r="B181" s="1165"/>
      <c r="C181" s="1166"/>
      <c r="D181" s="395" t="s">
        <v>474</v>
      </c>
      <c r="E181" s="396" t="s">
        <v>88</v>
      </c>
      <c r="F181" s="468"/>
      <c r="G181" s="397"/>
      <c r="H181" s="397"/>
      <c r="I181" s="398"/>
      <c r="J181" s="398"/>
      <c r="K181" s="551"/>
      <c r="L181" s="1227"/>
    </row>
    <row r="182" spans="2:12" s="109" customFormat="1" thickBot="1">
      <c r="B182" s="519">
        <v>3.5</v>
      </c>
      <c r="C182" s="1173" t="s">
        <v>46</v>
      </c>
      <c r="D182" s="1173"/>
      <c r="E182" s="1173"/>
      <c r="F182" s="520"/>
      <c r="G182" s="521"/>
      <c r="H182" s="521"/>
      <c r="I182" s="522"/>
      <c r="J182" s="522"/>
      <c r="K182" s="566"/>
      <c r="L182" s="567"/>
    </row>
    <row r="183" spans="2:12" s="109" customFormat="1" ht="13" outlineLevel="1">
      <c r="B183" s="1162" t="s">
        <v>550</v>
      </c>
      <c r="C183" s="1163"/>
      <c r="D183" s="400" t="s">
        <v>475</v>
      </c>
      <c r="E183" s="401" t="s">
        <v>88</v>
      </c>
      <c r="F183" s="469"/>
      <c r="G183" s="402"/>
      <c r="H183" s="402"/>
      <c r="I183" s="403"/>
      <c r="J183" s="403"/>
      <c r="K183" s="557"/>
      <c r="L183" s="1225">
        <f>+SUM(K183:K185)</f>
        <v>0</v>
      </c>
    </row>
    <row r="184" spans="2:12" s="109" customFormat="1" ht="13" outlineLevel="1">
      <c r="B184" s="1164"/>
      <c r="C184" s="1160"/>
      <c r="D184" s="373" t="s">
        <v>476</v>
      </c>
      <c r="E184" s="374" t="s">
        <v>88</v>
      </c>
      <c r="F184" s="467"/>
      <c r="G184" s="375"/>
      <c r="H184" s="375"/>
      <c r="I184" s="376"/>
      <c r="J184" s="376"/>
      <c r="K184" s="534"/>
      <c r="L184" s="1226"/>
    </row>
    <row r="185" spans="2:12" s="109" customFormat="1" outlineLevel="1" thickBot="1">
      <c r="B185" s="1165"/>
      <c r="C185" s="1166"/>
      <c r="D185" s="395" t="s">
        <v>477</v>
      </c>
      <c r="E185" s="396" t="s">
        <v>88</v>
      </c>
      <c r="F185" s="468"/>
      <c r="G185" s="397"/>
      <c r="H185" s="397"/>
      <c r="I185" s="398"/>
      <c r="J185" s="398"/>
      <c r="K185" s="551"/>
      <c r="L185" s="1227"/>
    </row>
    <row r="186" spans="2:12" s="109" customFormat="1" ht="13" outlineLevel="1">
      <c r="B186" s="1162" t="s">
        <v>551</v>
      </c>
      <c r="C186" s="1163"/>
      <c r="D186" s="400" t="s">
        <v>478</v>
      </c>
      <c r="E186" s="401" t="s">
        <v>88</v>
      </c>
      <c r="F186" s="469"/>
      <c r="G186" s="402"/>
      <c r="H186" s="402"/>
      <c r="I186" s="403"/>
      <c r="J186" s="403"/>
      <c r="K186" s="557"/>
      <c r="L186" s="1225">
        <f>+SUM(K186:K188)</f>
        <v>0</v>
      </c>
    </row>
    <row r="187" spans="2:12" s="109" customFormat="1" ht="13" outlineLevel="1">
      <c r="B187" s="1164"/>
      <c r="C187" s="1160"/>
      <c r="D187" s="373" t="s">
        <v>479</v>
      </c>
      <c r="E187" s="374" t="s">
        <v>88</v>
      </c>
      <c r="F187" s="467"/>
      <c r="G187" s="375"/>
      <c r="H187" s="375"/>
      <c r="I187" s="376"/>
      <c r="J187" s="376"/>
      <c r="K187" s="534"/>
      <c r="L187" s="1226"/>
    </row>
    <row r="188" spans="2:12" s="109" customFormat="1" outlineLevel="1" thickBot="1">
      <c r="B188" s="1165"/>
      <c r="C188" s="1166"/>
      <c r="D188" s="395" t="s">
        <v>480</v>
      </c>
      <c r="E188" s="396" t="s">
        <v>88</v>
      </c>
      <c r="F188" s="468"/>
      <c r="G188" s="397"/>
      <c r="H188" s="397"/>
      <c r="I188" s="398"/>
      <c r="J188" s="398"/>
      <c r="K188" s="551"/>
      <c r="L188" s="1227"/>
    </row>
    <row r="189" spans="2:12" s="109" customFormat="1" thickBot="1">
      <c r="B189" s="1215" t="s">
        <v>54</v>
      </c>
      <c r="C189" s="1216"/>
      <c r="D189" s="1216"/>
      <c r="E189" s="1216"/>
      <c r="F189" s="520"/>
      <c r="G189" s="521"/>
      <c r="H189" s="521"/>
      <c r="I189" s="522"/>
      <c r="J189" s="522"/>
      <c r="K189" s="566"/>
      <c r="L189" s="567"/>
    </row>
    <row r="190" spans="2:12" s="109" customFormat="1" thickBot="1">
      <c r="B190" s="519">
        <v>3.6</v>
      </c>
      <c r="C190" s="1173" t="s">
        <v>47</v>
      </c>
      <c r="D190" s="1173"/>
      <c r="E190" s="1173"/>
      <c r="F190" s="520"/>
      <c r="G190" s="521"/>
      <c r="H190" s="521"/>
      <c r="I190" s="522"/>
      <c r="J190" s="522"/>
      <c r="K190" s="566"/>
      <c r="L190" s="567"/>
    </row>
    <row r="191" spans="2:12" s="109" customFormat="1" ht="13" outlineLevel="1">
      <c r="B191" s="1162" t="s">
        <v>552</v>
      </c>
      <c r="C191" s="1163"/>
      <c r="D191" s="1246" t="s">
        <v>481</v>
      </c>
      <c r="E191" s="401" t="s">
        <v>722</v>
      </c>
      <c r="F191" s="469"/>
      <c r="G191" s="402">
        <v>4000</v>
      </c>
      <c r="H191" s="402" t="s">
        <v>95</v>
      </c>
      <c r="I191" s="403">
        <f>+VLOOKUP(E191,'Line items'!$B$3:$D$117,3,FALSE)</f>
        <v>10</v>
      </c>
      <c r="J191" s="403">
        <f t="shared" ref="J191:J192" si="48">+I191*G191</f>
        <v>40000</v>
      </c>
      <c r="K191" s="1217">
        <f>+SUM(J191:J192)</f>
        <v>42600</v>
      </c>
      <c r="L191" s="1225">
        <f>+SUM(K191:K194)</f>
        <v>42600</v>
      </c>
    </row>
    <row r="192" spans="2:12" s="109" customFormat="1" ht="13" outlineLevel="1">
      <c r="B192" s="1164"/>
      <c r="C192" s="1160"/>
      <c r="D192" s="1247"/>
      <c r="E192" s="374" t="s">
        <v>335</v>
      </c>
      <c r="F192" s="467"/>
      <c r="G192" s="375">
        <v>1</v>
      </c>
      <c r="H192" s="375" t="s">
        <v>364</v>
      </c>
      <c r="I192" s="376">
        <f>+VLOOKUP(E192,'Line items'!$B$3:$D$117,3,FALSE)</f>
        <v>2600</v>
      </c>
      <c r="J192" s="376">
        <f t="shared" si="48"/>
        <v>2600</v>
      </c>
      <c r="K192" s="1218"/>
      <c r="L192" s="1226"/>
    </row>
    <row r="193" spans="2:12" s="109" customFormat="1" ht="13" outlineLevel="1">
      <c r="B193" s="1164"/>
      <c r="C193" s="1160"/>
      <c r="D193" s="373" t="s">
        <v>482</v>
      </c>
      <c r="E193" s="374" t="s">
        <v>88</v>
      </c>
      <c r="F193" s="467"/>
      <c r="G193" s="375"/>
      <c r="H193" s="375"/>
      <c r="I193" s="376"/>
      <c r="J193" s="376"/>
      <c r="K193" s="534"/>
      <c r="L193" s="1226"/>
    </row>
    <row r="194" spans="2:12" s="109" customFormat="1" outlineLevel="1" thickBot="1">
      <c r="B194" s="1165"/>
      <c r="C194" s="1166"/>
      <c r="D194" s="395" t="s">
        <v>483</v>
      </c>
      <c r="E194" s="396" t="s">
        <v>88</v>
      </c>
      <c r="F194" s="468"/>
      <c r="G194" s="397"/>
      <c r="H194" s="397"/>
      <c r="I194" s="398"/>
      <c r="J194" s="398"/>
      <c r="K194" s="551"/>
      <c r="L194" s="1227"/>
    </row>
    <row r="195" spans="2:12" s="109" customFormat="1" thickBot="1">
      <c r="B195" s="519">
        <v>3.7</v>
      </c>
      <c r="C195" s="1173" t="s">
        <v>48</v>
      </c>
      <c r="D195" s="1173"/>
      <c r="E195" s="1173"/>
      <c r="F195" s="520"/>
      <c r="G195" s="521"/>
      <c r="H195" s="521"/>
      <c r="I195" s="522"/>
      <c r="J195" s="522"/>
      <c r="K195" s="566"/>
      <c r="L195" s="567"/>
    </row>
    <row r="196" spans="2:12">
      <c r="B196" s="109"/>
      <c r="C196" s="229"/>
      <c r="F196" s="462"/>
      <c r="L196" s="236"/>
    </row>
    <row r="197" spans="2:12">
      <c r="B197" s="109"/>
      <c r="C197" s="229"/>
      <c r="F197" s="462"/>
      <c r="L197" s="236"/>
    </row>
    <row r="198" spans="2:12">
      <c r="B198" s="109"/>
      <c r="C198" s="229"/>
      <c r="F198" s="462"/>
      <c r="L198" s="236"/>
    </row>
    <row r="199" spans="2:12">
      <c r="B199" s="109"/>
      <c r="C199" s="229"/>
      <c r="F199" s="462"/>
      <c r="L199" s="236"/>
    </row>
    <row r="200" spans="2:12">
      <c r="F200" s="462"/>
    </row>
    <row r="201" spans="2:12">
      <c r="F201" s="462"/>
    </row>
    <row r="202" spans="2:12">
      <c r="F202" s="462"/>
    </row>
    <row r="203" spans="2:12">
      <c r="F203" s="462"/>
    </row>
    <row r="204" spans="2:12">
      <c r="F204" s="462"/>
    </row>
    <row r="205" spans="2:12">
      <c r="F205" s="462"/>
    </row>
  </sheetData>
  <mergeCells count="153">
    <mergeCell ref="K70:K74"/>
    <mergeCell ref="K77:K81"/>
    <mergeCell ref="K84:K88"/>
    <mergeCell ref="K91:K95"/>
    <mergeCell ref="D166:D167"/>
    <mergeCell ref="B170:C174"/>
    <mergeCell ref="D170:D172"/>
    <mergeCell ref="B176:C178"/>
    <mergeCell ref="B189:E189"/>
    <mergeCell ref="D100:D101"/>
    <mergeCell ref="B106:C110"/>
    <mergeCell ref="D106:D108"/>
    <mergeCell ref="B111:C115"/>
    <mergeCell ref="D111:D113"/>
    <mergeCell ref="D125:D127"/>
    <mergeCell ref="C130:E130"/>
    <mergeCell ref="C96:E96"/>
    <mergeCell ref="C105:E105"/>
    <mergeCell ref="C116:E116"/>
    <mergeCell ref="B82:C88"/>
    <mergeCell ref="D84:D88"/>
    <mergeCell ref="B89:C95"/>
    <mergeCell ref="D91:D95"/>
    <mergeCell ref="B97:C99"/>
    <mergeCell ref="C195:E195"/>
    <mergeCell ref="C142:E142"/>
    <mergeCell ref="C147:E147"/>
    <mergeCell ref="C160:E160"/>
    <mergeCell ref="C175:E175"/>
    <mergeCell ref="C182:E182"/>
    <mergeCell ref="B148:C152"/>
    <mergeCell ref="D148:D150"/>
    <mergeCell ref="B153:C156"/>
    <mergeCell ref="D153:D154"/>
    <mergeCell ref="B157:C159"/>
    <mergeCell ref="B161:C165"/>
    <mergeCell ref="D161:D163"/>
    <mergeCell ref="B179:C181"/>
    <mergeCell ref="B183:C185"/>
    <mergeCell ref="B186:C188"/>
    <mergeCell ref="B191:C194"/>
    <mergeCell ref="D191:D192"/>
    <mergeCell ref="B166:C169"/>
    <mergeCell ref="C27:E27"/>
    <mergeCell ref="C48:E48"/>
    <mergeCell ref="C52:E52"/>
    <mergeCell ref="C56:E56"/>
    <mergeCell ref="C63:E63"/>
    <mergeCell ref="B22:C26"/>
    <mergeCell ref="D22:D24"/>
    <mergeCell ref="B28:C32"/>
    <mergeCell ref="D28:D30"/>
    <mergeCell ref="B33:C36"/>
    <mergeCell ref="D33:D34"/>
    <mergeCell ref="B37:C41"/>
    <mergeCell ref="D38:D40"/>
    <mergeCell ref="B42:C46"/>
    <mergeCell ref="A6:D6"/>
    <mergeCell ref="B10:C15"/>
    <mergeCell ref="D10:D13"/>
    <mergeCell ref="B16:C18"/>
    <mergeCell ref="B19:C21"/>
    <mergeCell ref="A1:D2"/>
    <mergeCell ref="E1:E2"/>
    <mergeCell ref="A3:D3"/>
    <mergeCell ref="A4:D4"/>
    <mergeCell ref="A5:D5"/>
    <mergeCell ref="B64:C66"/>
    <mergeCell ref="B68:C74"/>
    <mergeCell ref="D70:D74"/>
    <mergeCell ref="B75:C81"/>
    <mergeCell ref="D77:D81"/>
    <mergeCell ref="D43:D45"/>
    <mergeCell ref="B47:C47"/>
    <mergeCell ref="B49:C51"/>
    <mergeCell ref="B53:C55"/>
    <mergeCell ref="B57:C62"/>
    <mergeCell ref="D57:D59"/>
    <mergeCell ref="D60:D61"/>
    <mergeCell ref="C67:E67"/>
    <mergeCell ref="B100:C103"/>
    <mergeCell ref="C190:E190"/>
    <mergeCell ref="K43:K45"/>
    <mergeCell ref="K57:K59"/>
    <mergeCell ref="K60:K61"/>
    <mergeCell ref="K100:K101"/>
    <mergeCell ref="K106:K108"/>
    <mergeCell ref="K10:K13"/>
    <mergeCell ref="K22:K24"/>
    <mergeCell ref="K28:K30"/>
    <mergeCell ref="K33:K34"/>
    <mergeCell ref="K38:K40"/>
    <mergeCell ref="K166:K167"/>
    <mergeCell ref="K170:K172"/>
    <mergeCell ref="B131:C135"/>
    <mergeCell ref="D133:D135"/>
    <mergeCell ref="B136:C140"/>
    <mergeCell ref="D138:D140"/>
    <mergeCell ref="B143:C146"/>
    <mergeCell ref="D143:D144"/>
    <mergeCell ref="B117:C120"/>
    <mergeCell ref="D119:D120"/>
    <mergeCell ref="B121:C124"/>
    <mergeCell ref="D123:D124"/>
    <mergeCell ref="B125:C129"/>
    <mergeCell ref="K191:K192"/>
    <mergeCell ref="K138:K140"/>
    <mergeCell ref="K143:K144"/>
    <mergeCell ref="K148:K150"/>
    <mergeCell ref="K153:K154"/>
    <mergeCell ref="K161:K163"/>
    <mergeCell ref="K111:K113"/>
    <mergeCell ref="K119:K120"/>
    <mergeCell ref="K123:K124"/>
    <mergeCell ref="K125:K127"/>
    <mergeCell ref="K133:K135"/>
    <mergeCell ref="L10:L15"/>
    <mergeCell ref="L16:L18"/>
    <mergeCell ref="L19:L21"/>
    <mergeCell ref="L22:L26"/>
    <mergeCell ref="L28:L32"/>
    <mergeCell ref="L33:L36"/>
    <mergeCell ref="L37:L41"/>
    <mergeCell ref="L42:L46"/>
    <mergeCell ref="L49:L51"/>
    <mergeCell ref="L53:L55"/>
    <mergeCell ref="L57:L62"/>
    <mergeCell ref="L64:L66"/>
    <mergeCell ref="L68:L74"/>
    <mergeCell ref="L75:L81"/>
    <mergeCell ref="L82:L88"/>
    <mergeCell ref="L89:L95"/>
    <mergeCell ref="L97:L99"/>
    <mergeCell ref="L100:L103"/>
    <mergeCell ref="L106:L110"/>
    <mergeCell ref="L111:L115"/>
    <mergeCell ref="L117:L120"/>
    <mergeCell ref="L121:L124"/>
    <mergeCell ref="L125:L129"/>
    <mergeCell ref="L131:L135"/>
    <mergeCell ref="L136:L140"/>
    <mergeCell ref="L143:L146"/>
    <mergeCell ref="L148:L152"/>
    <mergeCell ref="L191:L194"/>
    <mergeCell ref="L153:L156"/>
    <mergeCell ref="L157:L159"/>
    <mergeCell ref="L161:L165"/>
    <mergeCell ref="L166:L169"/>
    <mergeCell ref="L170:L174"/>
    <mergeCell ref="L176:L178"/>
    <mergeCell ref="L179:L181"/>
    <mergeCell ref="L183:L185"/>
    <mergeCell ref="L186:L18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sheetPr>
  <dimension ref="A1:N236"/>
  <sheetViews>
    <sheetView workbookViewId="0">
      <selection sqref="A1:D2"/>
    </sheetView>
  </sheetViews>
  <sheetFormatPr baseColWidth="10" defaultColWidth="8.83203125" defaultRowHeight="15" outlineLevelRow="1" x14ac:dyDescent="0"/>
  <cols>
    <col min="1" max="4" width="8.83203125" style="232"/>
    <col min="5" max="5" width="76.83203125" style="232" bestFit="1" customWidth="1"/>
    <col min="6" max="6" width="23.6640625" style="232" bestFit="1" customWidth="1"/>
    <col min="7" max="7" width="9" style="245" bestFit="1" customWidth="1"/>
    <col min="8" max="8" width="5" style="245" bestFit="1" customWidth="1"/>
    <col min="9" max="10" width="15.6640625" style="232" customWidth="1"/>
    <col min="11" max="11" width="15.6640625" style="238" customWidth="1"/>
    <col min="12" max="12" width="20.6640625" style="239" customWidth="1"/>
    <col min="13" max="13" width="8.83203125" style="232"/>
    <col min="14" max="14" width="8.83203125" style="235"/>
    <col min="15" max="16384" width="8.83203125" style="232"/>
  </cols>
  <sheetData>
    <row r="1" spans="1:14">
      <c r="A1" s="1258" t="s">
        <v>62</v>
      </c>
      <c r="B1" s="1258"/>
      <c r="C1" s="1258"/>
      <c r="D1" s="1258"/>
      <c r="E1" s="1267" t="s">
        <v>509</v>
      </c>
    </row>
    <row r="2" spans="1:14">
      <c r="A2" s="1258"/>
      <c r="B2" s="1258"/>
      <c r="C2" s="1258"/>
      <c r="D2" s="1258"/>
      <c r="E2" s="1267"/>
    </row>
    <row r="3" spans="1:14">
      <c r="A3" s="1257" t="s">
        <v>64</v>
      </c>
      <c r="B3" s="1257"/>
      <c r="C3" s="1257"/>
      <c r="D3" s="1257"/>
      <c r="E3" s="264">
        <v>2000</v>
      </c>
    </row>
    <row r="4" spans="1:14">
      <c r="A4" s="1257" t="s">
        <v>359</v>
      </c>
      <c r="B4" s="1257"/>
      <c r="C4" s="1257"/>
      <c r="D4" s="1257"/>
      <c r="E4" s="265">
        <v>150</v>
      </c>
    </row>
    <row r="5" spans="1:14">
      <c r="A5" s="1257" t="s">
        <v>491</v>
      </c>
      <c r="B5" s="1257"/>
      <c r="C5" s="1257"/>
      <c r="D5" s="1257"/>
      <c r="E5" s="265">
        <v>1</v>
      </c>
    </row>
    <row r="6" spans="1:14" ht="16" thickBot="1">
      <c r="A6" s="1257" t="s">
        <v>361</v>
      </c>
      <c r="B6" s="1257"/>
      <c r="C6" s="1257"/>
      <c r="D6" s="1257"/>
      <c r="E6" s="265">
        <v>130</v>
      </c>
    </row>
    <row r="7" spans="1:14" ht="45" customHeight="1" thickBot="1">
      <c r="F7" s="538" t="s">
        <v>363</v>
      </c>
      <c r="G7" s="539" t="s">
        <v>336</v>
      </c>
      <c r="H7" s="539" t="s">
        <v>337</v>
      </c>
      <c r="I7" s="539" t="s">
        <v>365</v>
      </c>
      <c r="J7" s="539" t="s">
        <v>366</v>
      </c>
      <c r="K7" s="539" t="s">
        <v>560</v>
      </c>
      <c r="L7" s="540" t="s">
        <v>368</v>
      </c>
    </row>
    <row r="8" spans="1:14" s="109" customFormat="1" ht="16" thickBot="1">
      <c r="B8" s="409">
        <v>1</v>
      </c>
      <c r="C8" s="410" t="s">
        <v>28</v>
      </c>
      <c r="D8" s="411"/>
      <c r="E8" s="412"/>
      <c r="F8" s="413"/>
      <c r="G8" s="413"/>
      <c r="H8" s="413"/>
      <c r="I8" s="413"/>
      <c r="J8" s="413"/>
      <c r="K8" s="414"/>
      <c r="L8" s="546"/>
      <c r="N8" s="228"/>
    </row>
    <row r="9" spans="1:14" s="109" customFormat="1" ht="16" thickBot="1">
      <c r="B9" s="442">
        <v>1.1000000000000001</v>
      </c>
      <c r="C9" s="454" t="s">
        <v>0</v>
      </c>
      <c r="D9" s="443"/>
      <c r="E9" s="454"/>
      <c r="F9" s="444"/>
      <c r="G9" s="444"/>
      <c r="H9" s="444"/>
      <c r="I9" s="444"/>
      <c r="J9" s="444"/>
      <c r="K9" s="445"/>
      <c r="L9" s="547"/>
      <c r="N9" s="228"/>
    </row>
    <row r="10" spans="1:14" s="109" customFormat="1" ht="15" customHeight="1" outlineLevel="1">
      <c r="B10" s="1162" t="s">
        <v>515</v>
      </c>
      <c r="C10" s="1163"/>
      <c r="D10" s="1248" t="s">
        <v>370</v>
      </c>
      <c r="E10" s="401" t="s">
        <v>354</v>
      </c>
      <c r="F10" s="469"/>
      <c r="G10" s="402">
        <v>100</v>
      </c>
      <c r="H10" s="402" t="s">
        <v>360</v>
      </c>
      <c r="I10" s="403">
        <f>+VLOOKUP(E10,'Line items'!$B$3:$D$115,3,FALSE)</f>
        <v>40</v>
      </c>
      <c r="J10" s="403">
        <f>+I10*G10</f>
        <v>4000</v>
      </c>
      <c r="K10" s="1217">
        <f>+SUM(J10:J13)</f>
        <v>29500</v>
      </c>
      <c r="L10" s="1260">
        <f>+SUM(K10:K15)</f>
        <v>37500</v>
      </c>
      <c r="N10" s="228"/>
    </row>
    <row r="11" spans="1:14" s="109" customFormat="1" ht="15" customHeight="1" outlineLevel="1">
      <c r="B11" s="1164"/>
      <c r="C11" s="1160"/>
      <c r="D11" s="1249"/>
      <c r="E11" s="374" t="s">
        <v>649</v>
      </c>
      <c r="F11" s="467"/>
      <c r="G11" s="375">
        <v>100</v>
      </c>
      <c r="H11" s="375" t="s">
        <v>360</v>
      </c>
      <c r="I11" s="376">
        <f>+VLOOKUP(E11,'Line items'!$B$3:$D$115,3,FALSE)</f>
        <v>70</v>
      </c>
      <c r="J11" s="376">
        <f t="shared" ref="J11:J14" si="0">+I11*G11</f>
        <v>7000</v>
      </c>
      <c r="K11" s="1218"/>
      <c r="L11" s="1261"/>
      <c r="N11" s="228"/>
    </row>
    <row r="12" spans="1:14" s="109" customFormat="1" ht="15" customHeight="1" outlineLevel="1">
      <c r="B12" s="1164"/>
      <c r="C12" s="1160"/>
      <c r="D12" s="1249"/>
      <c r="E12" s="370" t="s">
        <v>759</v>
      </c>
      <c r="F12" s="467"/>
      <c r="G12" s="371">
        <v>80</v>
      </c>
      <c r="H12" s="371" t="s">
        <v>758</v>
      </c>
      <c r="I12" s="372">
        <f>+VLOOKUP(E12,'Line items'!$B$3:$D$102,3,FALSE)</f>
        <v>200</v>
      </c>
      <c r="J12" s="372">
        <f>+I12*G12</f>
        <v>16000</v>
      </c>
      <c r="K12" s="1218"/>
      <c r="L12" s="1261"/>
      <c r="N12" s="228"/>
    </row>
    <row r="13" spans="1:14" s="109" customFormat="1" ht="15" customHeight="1" outlineLevel="1">
      <c r="B13" s="1164"/>
      <c r="C13" s="1160"/>
      <c r="D13" s="1249"/>
      <c r="E13" s="370" t="s">
        <v>653</v>
      </c>
      <c r="F13" s="467"/>
      <c r="G13" s="375">
        <v>1</v>
      </c>
      <c r="H13" s="375" t="s">
        <v>364</v>
      </c>
      <c r="I13" s="376">
        <f>+VLOOKUP(E13,'Line items'!$B$3:$D$115,3,FALSE)</f>
        <v>2500</v>
      </c>
      <c r="J13" s="376">
        <f t="shared" si="0"/>
        <v>2500</v>
      </c>
      <c r="K13" s="1218"/>
      <c r="L13" s="1261"/>
      <c r="N13" s="228"/>
    </row>
    <row r="14" spans="1:14" s="109" customFormat="1" ht="15" customHeight="1" outlineLevel="1">
      <c r="B14" s="1164"/>
      <c r="C14" s="1160"/>
      <c r="D14" s="373" t="s">
        <v>369</v>
      </c>
      <c r="E14" s="374" t="s">
        <v>650</v>
      </c>
      <c r="F14" s="467"/>
      <c r="G14" s="375">
        <v>1</v>
      </c>
      <c r="H14" s="375" t="s">
        <v>364</v>
      </c>
      <c r="I14" s="376">
        <f>+VLOOKUP(E14,'Line items'!$B$3:$D$115,3,FALSE)</f>
        <v>8000</v>
      </c>
      <c r="J14" s="376">
        <f t="shared" si="0"/>
        <v>8000</v>
      </c>
      <c r="K14" s="532">
        <f>+J14</f>
        <v>8000</v>
      </c>
      <c r="L14" s="1261"/>
      <c r="N14" s="228"/>
    </row>
    <row r="15" spans="1:14" s="109" customFormat="1" ht="15" customHeight="1" outlineLevel="1" thickBot="1">
      <c r="B15" s="1165"/>
      <c r="C15" s="1166"/>
      <c r="D15" s="395" t="s">
        <v>371</v>
      </c>
      <c r="E15" s="396" t="s">
        <v>301</v>
      </c>
      <c r="F15" s="468"/>
      <c r="G15" s="397"/>
      <c r="H15" s="397"/>
      <c r="I15" s="398"/>
      <c r="J15" s="398"/>
      <c r="K15" s="548"/>
      <c r="L15" s="1262"/>
      <c r="N15" s="228"/>
    </row>
    <row r="16" spans="1:14" s="109" customFormat="1" ht="15" customHeight="1" outlineLevel="1">
      <c r="B16" s="1162" t="s">
        <v>516</v>
      </c>
      <c r="C16" s="1163"/>
      <c r="D16" s="400" t="s">
        <v>380</v>
      </c>
      <c r="E16" s="401" t="s">
        <v>302</v>
      </c>
      <c r="F16" s="469"/>
      <c r="G16" s="402"/>
      <c r="H16" s="402"/>
      <c r="I16" s="403"/>
      <c r="J16" s="403"/>
      <c r="K16" s="549"/>
      <c r="L16" s="1264">
        <f>+SUM(K16:K18)</f>
        <v>0</v>
      </c>
      <c r="N16" s="228"/>
    </row>
    <row r="17" spans="2:14" s="109" customFormat="1" ht="15" customHeight="1" outlineLevel="1">
      <c r="B17" s="1164"/>
      <c r="C17" s="1160"/>
      <c r="D17" s="373" t="s">
        <v>373</v>
      </c>
      <c r="E17" s="374" t="s">
        <v>88</v>
      </c>
      <c r="F17" s="467"/>
      <c r="G17" s="375"/>
      <c r="H17" s="375"/>
      <c r="I17" s="376"/>
      <c r="J17" s="376"/>
      <c r="K17" s="532"/>
      <c r="L17" s="1265"/>
      <c r="N17" s="228"/>
    </row>
    <row r="18" spans="2:14" s="109" customFormat="1" ht="15" customHeight="1" outlineLevel="1" thickBot="1">
      <c r="B18" s="1165"/>
      <c r="C18" s="1166"/>
      <c r="D18" s="395" t="s">
        <v>372</v>
      </c>
      <c r="E18" s="396" t="s">
        <v>88</v>
      </c>
      <c r="F18" s="468"/>
      <c r="G18" s="397"/>
      <c r="H18" s="397"/>
      <c r="I18" s="398"/>
      <c r="J18" s="398"/>
      <c r="K18" s="548"/>
      <c r="L18" s="1266"/>
      <c r="N18" s="228"/>
    </row>
    <row r="19" spans="2:14" s="109" customFormat="1" ht="15" customHeight="1" outlineLevel="1">
      <c r="B19" s="1162" t="s">
        <v>517</v>
      </c>
      <c r="C19" s="1163"/>
      <c r="D19" s="405" t="s">
        <v>374</v>
      </c>
      <c r="E19" s="401" t="s">
        <v>88</v>
      </c>
      <c r="F19" s="469"/>
      <c r="G19" s="402"/>
      <c r="H19" s="402"/>
      <c r="I19" s="403"/>
      <c r="J19" s="403"/>
      <c r="K19" s="549"/>
      <c r="L19" s="1260">
        <f>+SUM(K19:K21)</f>
        <v>0</v>
      </c>
      <c r="N19" s="228"/>
    </row>
    <row r="20" spans="2:14" s="109" customFormat="1" ht="15" customHeight="1" outlineLevel="1">
      <c r="B20" s="1164"/>
      <c r="C20" s="1160"/>
      <c r="D20" s="378" t="s">
        <v>375</v>
      </c>
      <c r="E20" s="374" t="s">
        <v>88</v>
      </c>
      <c r="F20" s="467"/>
      <c r="G20" s="375"/>
      <c r="H20" s="375"/>
      <c r="I20" s="376"/>
      <c r="J20" s="376"/>
      <c r="K20" s="532"/>
      <c r="L20" s="1261"/>
      <c r="N20" s="228"/>
    </row>
    <row r="21" spans="2:14" s="109" customFormat="1" ht="15" customHeight="1" outlineLevel="1" thickBot="1">
      <c r="B21" s="1165"/>
      <c r="C21" s="1166"/>
      <c r="D21" s="406" t="s">
        <v>376</v>
      </c>
      <c r="E21" s="396" t="s">
        <v>88</v>
      </c>
      <c r="F21" s="468"/>
      <c r="G21" s="397"/>
      <c r="H21" s="397"/>
      <c r="I21" s="398"/>
      <c r="J21" s="398"/>
      <c r="K21" s="548"/>
      <c r="L21" s="1262"/>
      <c r="N21" s="228"/>
    </row>
    <row r="22" spans="2:14" s="109" customFormat="1" ht="15" customHeight="1" outlineLevel="1">
      <c r="B22" s="1162" t="s">
        <v>518</v>
      </c>
      <c r="C22" s="1163"/>
      <c r="D22" s="1248" t="s">
        <v>377</v>
      </c>
      <c r="E22" s="392" t="s">
        <v>305</v>
      </c>
      <c r="F22" s="465"/>
      <c r="G22" s="393">
        <v>1</v>
      </c>
      <c r="H22" s="393" t="s">
        <v>364</v>
      </c>
      <c r="I22" s="403">
        <f>+VLOOKUP(E22,'Line items'!$B$3:$D$115,3,FALSE)</f>
        <v>2500</v>
      </c>
      <c r="J22" s="394">
        <f t="shared" ref="J22:J30" si="1">+I22*G22</f>
        <v>2500</v>
      </c>
      <c r="K22" s="1219">
        <f>+SUM(J22:J24)</f>
        <v>12500</v>
      </c>
      <c r="L22" s="1260">
        <f>+SUM(K22:K26)</f>
        <v>28500</v>
      </c>
      <c r="N22" s="228"/>
    </row>
    <row r="23" spans="2:14" s="109" customFormat="1" ht="15" customHeight="1" outlineLevel="1">
      <c r="B23" s="1164"/>
      <c r="C23" s="1160"/>
      <c r="D23" s="1249"/>
      <c r="E23" s="370" t="s">
        <v>306</v>
      </c>
      <c r="F23" s="466"/>
      <c r="G23" s="371">
        <v>1</v>
      </c>
      <c r="H23" s="371" t="s">
        <v>364</v>
      </c>
      <c r="I23" s="376">
        <f>+VLOOKUP(E23,'Line items'!$B$3:$D$115,3,FALSE)</f>
        <v>10000</v>
      </c>
      <c r="J23" s="372">
        <f t="shared" si="1"/>
        <v>10000</v>
      </c>
      <c r="K23" s="1220"/>
      <c r="L23" s="1261"/>
      <c r="N23" s="228"/>
    </row>
    <row r="24" spans="2:14" s="109" customFormat="1" ht="15" customHeight="1" outlineLevel="1">
      <c r="B24" s="1164"/>
      <c r="C24" s="1160"/>
      <c r="D24" s="1249"/>
      <c r="E24" s="379" t="s">
        <v>307</v>
      </c>
      <c r="F24" s="467"/>
      <c r="G24" s="375"/>
      <c r="H24" s="375" t="s">
        <v>360</v>
      </c>
      <c r="I24" s="376"/>
      <c r="J24" s="376">
        <f t="shared" si="1"/>
        <v>0</v>
      </c>
      <c r="K24" s="1220"/>
      <c r="L24" s="1261"/>
      <c r="N24" s="228"/>
    </row>
    <row r="25" spans="2:14" s="109" customFormat="1" ht="15" customHeight="1" outlineLevel="1">
      <c r="B25" s="1164"/>
      <c r="C25" s="1160"/>
      <c r="D25" s="373" t="s">
        <v>378</v>
      </c>
      <c r="E25" s="370" t="s">
        <v>170</v>
      </c>
      <c r="F25" s="467"/>
      <c r="G25" s="375">
        <f>G12</f>
        <v>80</v>
      </c>
      <c r="H25" s="375" t="s">
        <v>758</v>
      </c>
      <c r="I25" s="376">
        <f>+VLOOKUP(E25,'Line items'!$B$3:$D$115,3,FALSE)</f>
        <v>200</v>
      </c>
      <c r="J25" s="376">
        <f t="shared" si="1"/>
        <v>16000</v>
      </c>
      <c r="K25" s="533">
        <f>+J25</f>
        <v>16000</v>
      </c>
      <c r="L25" s="1261"/>
      <c r="N25" s="228"/>
    </row>
    <row r="26" spans="2:14" s="109" customFormat="1" ht="15" customHeight="1" outlineLevel="1" thickBot="1">
      <c r="B26" s="1165"/>
      <c r="C26" s="1166"/>
      <c r="D26" s="395" t="s">
        <v>379</v>
      </c>
      <c r="E26" s="370" t="s">
        <v>170</v>
      </c>
      <c r="F26" s="477"/>
      <c r="G26" s="440">
        <v>0</v>
      </c>
      <c r="H26" s="440" t="s">
        <v>758</v>
      </c>
      <c r="I26" s="398">
        <f>+VLOOKUP(E26,'Line items'!$B$3:$D$115,3,FALSE)</f>
        <v>200</v>
      </c>
      <c r="J26" s="408">
        <f t="shared" si="1"/>
        <v>0</v>
      </c>
      <c r="K26" s="550">
        <f>+J26</f>
        <v>0</v>
      </c>
      <c r="L26" s="1262"/>
      <c r="N26" s="228"/>
    </row>
    <row r="27" spans="2:14" s="109" customFormat="1" ht="14" thickBot="1">
      <c r="B27" s="442">
        <v>1.2</v>
      </c>
      <c r="C27" s="1167" t="s">
        <v>4</v>
      </c>
      <c r="D27" s="1167"/>
      <c r="E27" s="1167"/>
      <c r="F27" s="464"/>
      <c r="G27" s="444"/>
      <c r="H27" s="444"/>
      <c r="I27" s="444"/>
      <c r="J27" s="444"/>
      <c r="K27" s="445"/>
      <c r="L27" s="446"/>
      <c r="N27" s="228"/>
    </row>
    <row r="28" spans="2:14" s="109" customFormat="1" ht="15" customHeight="1" outlineLevel="1">
      <c r="B28" s="1162" t="s">
        <v>519</v>
      </c>
      <c r="C28" s="1163"/>
      <c r="D28" s="1248" t="s">
        <v>381</v>
      </c>
      <c r="E28" s="392" t="s">
        <v>658</v>
      </c>
      <c r="F28" s="469"/>
      <c r="G28" s="402">
        <v>300</v>
      </c>
      <c r="H28" s="402" t="s">
        <v>360</v>
      </c>
      <c r="I28" s="403">
        <f>+VLOOKUP(E28,'Line items'!$B$3:$D$115,3,FALSE)</f>
        <v>50</v>
      </c>
      <c r="J28" s="403">
        <f t="shared" si="1"/>
        <v>15000</v>
      </c>
      <c r="K28" s="1217">
        <f>+SUM(J28:J30)</f>
        <v>85500</v>
      </c>
      <c r="L28" s="1260">
        <f>+SUM(K28:K32)</f>
        <v>85500</v>
      </c>
      <c r="N28" s="228"/>
    </row>
    <row r="29" spans="2:14" s="109" customFormat="1" ht="15" customHeight="1" outlineLevel="1">
      <c r="B29" s="1164"/>
      <c r="C29" s="1160"/>
      <c r="D29" s="1249"/>
      <c r="E29" s="374" t="s">
        <v>659</v>
      </c>
      <c r="F29" s="467"/>
      <c r="G29" s="375">
        <v>300</v>
      </c>
      <c r="H29" s="375" t="s">
        <v>360</v>
      </c>
      <c r="I29" s="376">
        <f>+VLOOKUP(E29,'Line items'!$B$3:$D$115,3,FALSE)</f>
        <v>210</v>
      </c>
      <c r="J29" s="376">
        <f t="shared" si="1"/>
        <v>63000</v>
      </c>
      <c r="K29" s="1218"/>
      <c r="L29" s="1261"/>
      <c r="N29" s="228"/>
    </row>
    <row r="30" spans="2:14" s="109" customFormat="1" ht="15" customHeight="1" outlineLevel="1">
      <c r="B30" s="1164"/>
      <c r="C30" s="1160"/>
      <c r="D30" s="1249"/>
      <c r="E30" s="370" t="s">
        <v>660</v>
      </c>
      <c r="F30" s="467"/>
      <c r="G30" s="375">
        <v>3</v>
      </c>
      <c r="H30" s="375" t="s">
        <v>364</v>
      </c>
      <c r="I30" s="376">
        <f>+VLOOKUP(E30,'Line items'!$B$3:$D$115,3,FALSE)</f>
        <v>2500</v>
      </c>
      <c r="J30" s="376">
        <f t="shared" si="1"/>
        <v>7500</v>
      </c>
      <c r="K30" s="1218"/>
      <c r="L30" s="1261"/>
      <c r="N30" s="228"/>
    </row>
    <row r="31" spans="2:14" s="109" customFormat="1" ht="15" customHeight="1" outlineLevel="1">
      <c r="B31" s="1164"/>
      <c r="C31" s="1160"/>
      <c r="D31" s="373" t="s">
        <v>382</v>
      </c>
      <c r="E31" s="374" t="s">
        <v>88</v>
      </c>
      <c r="F31" s="467"/>
      <c r="G31" s="375"/>
      <c r="H31" s="375"/>
      <c r="I31" s="376"/>
      <c r="J31" s="376"/>
      <c r="K31" s="534"/>
      <c r="L31" s="1261"/>
      <c r="N31" s="228"/>
    </row>
    <row r="32" spans="2:14" s="109" customFormat="1" ht="15" customHeight="1" outlineLevel="1" thickBot="1">
      <c r="B32" s="1165"/>
      <c r="C32" s="1166"/>
      <c r="D32" s="395" t="s">
        <v>383</v>
      </c>
      <c r="E32" s="396" t="s">
        <v>301</v>
      </c>
      <c r="F32" s="468"/>
      <c r="G32" s="397"/>
      <c r="H32" s="397"/>
      <c r="I32" s="398"/>
      <c r="J32" s="398"/>
      <c r="K32" s="551"/>
      <c r="L32" s="1262"/>
      <c r="N32" s="228"/>
    </row>
    <row r="33" spans="2:14" s="109" customFormat="1" ht="15" customHeight="1" outlineLevel="1">
      <c r="B33" s="1162" t="s">
        <v>520</v>
      </c>
      <c r="C33" s="1163"/>
      <c r="D33" s="1248" t="s">
        <v>384</v>
      </c>
      <c r="E33" s="392" t="s">
        <v>658</v>
      </c>
      <c r="F33" s="469"/>
      <c r="G33" s="402">
        <v>300</v>
      </c>
      <c r="H33" s="402" t="s">
        <v>360</v>
      </c>
      <c r="I33" s="403">
        <f>+VLOOKUP(E33,'Line items'!$B$3:$D$115,3,FALSE)</f>
        <v>50</v>
      </c>
      <c r="J33" s="403">
        <f t="shared" ref="J33:J34" si="2">+I33*G33</f>
        <v>15000</v>
      </c>
      <c r="K33" s="1217">
        <f>+SUM(J33:J34)</f>
        <v>54000</v>
      </c>
      <c r="L33" s="1260">
        <f>+SUM(K33:K36)</f>
        <v>54000</v>
      </c>
      <c r="N33" s="228"/>
    </row>
    <row r="34" spans="2:14" s="109" customFormat="1" ht="15" customHeight="1" outlineLevel="1">
      <c r="B34" s="1164"/>
      <c r="C34" s="1160"/>
      <c r="D34" s="1249"/>
      <c r="E34" s="374" t="s">
        <v>661</v>
      </c>
      <c r="F34" s="467"/>
      <c r="G34" s="375">
        <v>300</v>
      </c>
      <c r="H34" s="375" t="s">
        <v>360</v>
      </c>
      <c r="I34" s="376">
        <f>+VLOOKUP(E34,'Line items'!$B$3:$D$115,3,FALSE)</f>
        <v>130</v>
      </c>
      <c r="J34" s="376">
        <f t="shared" si="2"/>
        <v>39000</v>
      </c>
      <c r="K34" s="1218"/>
      <c r="L34" s="1261"/>
      <c r="N34" s="228"/>
    </row>
    <row r="35" spans="2:14" s="109" customFormat="1" ht="15" customHeight="1" outlineLevel="1">
      <c r="B35" s="1164"/>
      <c r="C35" s="1160"/>
      <c r="D35" s="373" t="s">
        <v>385</v>
      </c>
      <c r="E35" s="374" t="s">
        <v>88</v>
      </c>
      <c r="F35" s="467"/>
      <c r="G35" s="375"/>
      <c r="H35" s="375"/>
      <c r="I35" s="376"/>
      <c r="J35" s="376"/>
      <c r="K35" s="534"/>
      <c r="L35" s="1261"/>
      <c r="N35" s="228"/>
    </row>
    <row r="36" spans="2:14" s="109" customFormat="1" ht="15" customHeight="1" outlineLevel="1" thickBot="1">
      <c r="B36" s="1165"/>
      <c r="C36" s="1166"/>
      <c r="D36" s="395" t="s">
        <v>386</v>
      </c>
      <c r="E36" s="396" t="s">
        <v>301</v>
      </c>
      <c r="F36" s="468"/>
      <c r="G36" s="397"/>
      <c r="H36" s="397"/>
      <c r="I36" s="398"/>
      <c r="J36" s="398"/>
      <c r="K36" s="551"/>
      <c r="L36" s="1262"/>
      <c r="N36" s="228"/>
    </row>
    <row r="37" spans="2:14" s="109" customFormat="1" ht="15" customHeight="1" outlineLevel="1">
      <c r="B37" s="1162" t="s">
        <v>521</v>
      </c>
      <c r="C37" s="1163"/>
      <c r="D37" s="400" t="s">
        <v>387</v>
      </c>
      <c r="E37" s="422" t="s">
        <v>308</v>
      </c>
      <c r="F37" s="469"/>
      <c r="G37" s="402">
        <v>150</v>
      </c>
      <c r="H37" s="402" t="s">
        <v>360</v>
      </c>
      <c r="I37" s="403">
        <f>+VLOOKUP($E37,GenRetL!$E$10:$I$194,5,FALSE)</f>
        <v>0</v>
      </c>
      <c r="J37" s="403"/>
      <c r="K37" s="552"/>
      <c r="L37" s="1260">
        <f>+SUM(K37:K41)</f>
        <v>67500</v>
      </c>
      <c r="N37" s="228"/>
    </row>
    <row r="38" spans="2:14" s="109" customFormat="1" ht="15" customHeight="1" outlineLevel="1">
      <c r="B38" s="1164"/>
      <c r="C38" s="1160"/>
      <c r="D38" s="1249" t="s">
        <v>388</v>
      </c>
      <c r="E38" s="370" t="s">
        <v>662</v>
      </c>
      <c r="F38" s="467"/>
      <c r="G38" s="375">
        <v>1</v>
      </c>
      <c r="H38" s="375" t="s">
        <v>364</v>
      </c>
      <c r="I38" s="376">
        <f>+VLOOKUP(E38,'Line items'!$B$3:$D$115,3,FALSE)</f>
        <v>30000</v>
      </c>
      <c r="J38" s="376">
        <f>+I38*G38</f>
        <v>30000</v>
      </c>
      <c r="K38" s="1220">
        <f>+SUM(J38:J40)</f>
        <v>67500</v>
      </c>
      <c r="L38" s="1261"/>
      <c r="N38" s="228"/>
    </row>
    <row r="39" spans="2:14" s="109" customFormat="1" ht="15" customHeight="1" outlineLevel="1">
      <c r="B39" s="1164"/>
      <c r="C39" s="1160"/>
      <c r="D39" s="1249"/>
      <c r="E39" s="370" t="s">
        <v>663</v>
      </c>
      <c r="F39" s="467"/>
      <c r="G39" s="375">
        <v>150</v>
      </c>
      <c r="H39" s="375" t="s">
        <v>360</v>
      </c>
      <c r="I39" s="376">
        <f>+VLOOKUP(E39,'Line items'!$B$3:$D$115,3,FALSE)</f>
        <v>210</v>
      </c>
      <c r="J39" s="376">
        <f t="shared" ref="J39:J40" si="3">+I39*G39</f>
        <v>31500</v>
      </c>
      <c r="K39" s="1220"/>
      <c r="L39" s="1261"/>
      <c r="N39" s="228"/>
    </row>
    <row r="40" spans="2:14" s="109" customFormat="1" ht="15" customHeight="1" outlineLevel="1">
      <c r="B40" s="1164"/>
      <c r="C40" s="1160"/>
      <c r="D40" s="1249"/>
      <c r="E40" s="370" t="s">
        <v>309</v>
      </c>
      <c r="F40" s="467"/>
      <c r="G40" s="375">
        <v>150</v>
      </c>
      <c r="H40" s="375" t="s">
        <v>360</v>
      </c>
      <c r="I40" s="376">
        <f>+VLOOKUP(E40,'Line items'!$B$3:$D$115,3,FALSE)</f>
        <v>40</v>
      </c>
      <c r="J40" s="376">
        <f t="shared" si="3"/>
        <v>6000</v>
      </c>
      <c r="K40" s="1220"/>
      <c r="L40" s="1261"/>
      <c r="N40" s="228"/>
    </row>
    <row r="41" spans="2:14" s="109" customFormat="1" ht="15" customHeight="1" outlineLevel="1" thickBot="1">
      <c r="B41" s="1165"/>
      <c r="C41" s="1166"/>
      <c r="D41" s="395" t="s">
        <v>389</v>
      </c>
      <c r="E41" s="396" t="s">
        <v>301</v>
      </c>
      <c r="F41" s="468"/>
      <c r="G41" s="397"/>
      <c r="H41" s="397"/>
      <c r="I41" s="398"/>
      <c r="J41" s="398"/>
      <c r="K41" s="548"/>
      <c r="L41" s="1262"/>
      <c r="N41" s="228"/>
    </row>
    <row r="42" spans="2:14" s="109" customFormat="1" ht="15" customHeight="1" outlineLevel="1">
      <c r="B42" s="1162" t="s">
        <v>522</v>
      </c>
      <c r="C42" s="1163"/>
      <c r="D42" s="400" t="s">
        <v>390</v>
      </c>
      <c r="E42" s="422" t="s">
        <v>308</v>
      </c>
      <c r="F42" s="469"/>
      <c r="G42" s="402">
        <v>150</v>
      </c>
      <c r="H42" s="402" t="s">
        <v>360</v>
      </c>
      <c r="I42" s="403">
        <f>+VLOOKUP($E42,GenRetL!$E$10:$I$194,5,FALSE)</f>
        <v>0</v>
      </c>
      <c r="J42" s="403"/>
      <c r="K42" s="552"/>
      <c r="L42" s="1260">
        <f>+SUM(K42:K46)</f>
        <v>67500</v>
      </c>
      <c r="N42" s="228"/>
    </row>
    <row r="43" spans="2:14" s="109" customFormat="1" ht="15" customHeight="1" outlineLevel="1">
      <c r="B43" s="1164"/>
      <c r="C43" s="1160"/>
      <c r="D43" s="1249" t="s">
        <v>391</v>
      </c>
      <c r="E43" s="370" t="s">
        <v>662</v>
      </c>
      <c r="F43" s="467"/>
      <c r="G43" s="375">
        <v>1</v>
      </c>
      <c r="H43" s="375" t="s">
        <v>364</v>
      </c>
      <c r="I43" s="376">
        <f>+VLOOKUP(E43,'Line items'!$B$3:$D$115,3,FALSE)</f>
        <v>30000</v>
      </c>
      <c r="J43" s="376">
        <f t="shared" ref="J43:J45" si="4">+I43*G43</f>
        <v>30000</v>
      </c>
      <c r="K43" s="1218">
        <f>+SUM(J43:J45)</f>
        <v>67500</v>
      </c>
      <c r="L43" s="1261"/>
      <c r="N43" s="228"/>
    </row>
    <row r="44" spans="2:14" s="109" customFormat="1" ht="15" customHeight="1" outlineLevel="1">
      <c r="B44" s="1164"/>
      <c r="C44" s="1160"/>
      <c r="D44" s="1249"/>
      <c r="E44" s="370" t="s">
        <v>663</v>
      </c>
      <c r="F44" s="535"/>
      <c r="G44" s="375">
        <v>150</v>
      </c>
      <c r="H44" s="375" t="s">
        <v>360</v>
      </c>
      <c r="I44" s="376">
        <f>+VLOOKUP(E44,'Line items'!$B$3:$D$115,3,FALSE)</f>
        <v>210</v>
      </c>
      <c r="J44" s="376">
        <f t="shared" si="4"/>
        <v>31500</v>
      </c>
      <c r="K44" s="1218"/>
      <c r="L44" s="1261"/>
      <c r="N44" s="228"/>
    </row>
    <row r="45" spans="2:14" s="109" customFormat="1" ht="15" customHeight="1" outlineLevel="1">
      <c r="B45" s="1164"/>
      <c r="C45" s="1160"/>
      <c r="D45" s="1249"/>
      <c r="E45" s="374" t="s">
        <v>309</v>
      </c>
      <c r="F45" s="467"/>
      <c r="G45" s="375">
        <v>150</v>
      </c>
      <c r="H45" s="375" t="s">
        <v>360</v>
      </c>
      <c r="I45" s="376">
        <f>+VLOOKUP(E45,'Line items'!$B$3:$D$115,3,FALSE)</f>
        <v>40</v>
      </c>
      <c r="J45" s="376">
        <f t="shared" si="4"/>
        <v>6000</v>
      </c>
      <c r="K45" s="1218"/>
      <c r="L45" s="1261"/>
      <c r="N45" s="228"/>
    </row>
    <row r="46" spans="2:14" s="109" customFormat="1" ht="15" customHeight="1" outlineLevel="1" thickBot="1">
      <c r="B46" s="1165"/>
      <c r="C46" s="1166"/>
      <c r="D46" s="395" t="s">
        <v>392</v>
      </c>
      <c r="E46" s="396" t="s">
        <v>301</v>
      </c>
      <c r="F46" s="468"/>
      <c r="G46" s="397"/>
      <c r="H46" s="397"/>
      <c r="I46" s="398"/>
      <c r="J46" s="398"/>
      <c r="K46" s="551"/>
      <c r="L46" s="1262"/>
      <c r="N46" s="228"/>
    </row>
    <row r="47" spans="2:14" s="109" customFormat="1" ht="15" customHeight="1" outlineLevel="1" thickBot="1">
      <c r="B47" s="1233" t="s">
        <v>523</v>
      </c>
      <c r="C47" s="1234"/>
      <c r="D47" s="553" t="s">
        <v>393</v>
      </c>
      <c r="E47" s="432" t="s">
        <v>355</v>
      </c>
      <c r="F47" s="473"/>
      <c r="G47" s="434"/>
      <c r="H47" s="433"/>
      <c r="I47" s="435"/>
      <c r="J47" s="435"/>
      <c r="K47" s="554"/>
      <c r="L47" s="555">
        <f>+K47</f>
        <v>0</v>
      </c>
      <c r="N47" s="228"/>
    </row>
    <row r="48" spans="2:14" s="109" customFormat="1" ht="14" thickBot="1">
      <c r="B48" s="442">
        <v>1.3</v>
      </c>
      <c r="C48" s="1167" t="s">
        <v>32</v>
      </c>
      <c r="D48" s="1167"/>
      <c r="E48" s="1167"/>
      <c r="F48" s="464"/>
      <c r="G48" s="444"/>
      <c r="H48" s="444"/>
      <c r="I48" s="444"/>
      <c r="J48" s="444"/>
      <c r="K48" s="445"/>
      <c r="L48" s="446"/>
      <c r="N48" s="228"/>
    </row>
    <row r="49" spans="2:14" s="109" customFormat="1" ht="15" customHeight="1" outlineLevel="1">
      <c r="B49" s="1162" t="s">
        <v>524</v>
      </c>
      <c r="C49" s="1163"/>
      <c r="D49" s="400" t="s">
        <v>396</v>
      </c>
      <c r="E49" s="438" t="s">
        <v>695</v>
      </c>
      <c r="F49" s="465"/>
      <c r="G49" s="393">
        <v>2</v>
      </c>
      <c r="H49" s="393" t="s">
        <v>364</v>
      </c>
      <c r="I49" s="403">
        <f>+VLOOKUP(E49,'Line items'!$B$3:$D$115,3,FALSE)</f>
        <v>500</v>
      </c>
      <c r="J49" s="394">
        <f>+I49*G49</f>
        <v>1000</v>
      </c>
      <c r="K49" s="552">
        <f>+J49</f>
        <v>1000</v>
      </c>
      <c r="L49" s="1260">
        <f>+SUM(K49:K51)</f>
        <v>61000</v>
      </c>
      <c r="N49" s="228"/>
    </row>
    <row r="50" spans="2:14" s="109" customFormat="1" ht="15" customHeight="1" outlineLevel="1">
      <c r="B50" s="1164"/>
      <c r="C50" s="1160"/>
      <c r="D50" s="373" t="s">
        <v>397</v>
      </c>
      <c r="E50" s="370" t="s">
        <v>665</v>
      </c>
      <c r="F50" s="466"/>
      <c r="G50" s="371">
        <v>300</v>
      </c>
      <c r="H50" s="371" t="s">
        <v>360</v>
      </c>
      <c r="I50" s="376">
        <f>+VLOOKUP(E50,'Line items'!$B$3:$D$115,3,FALSE)</f>
        <v>200</v>
      </c>
      <c r="J50" s="372">
        <f t="shared" ref="J50:J51" si="5">+I50*G50</f>
        <v>60000</v>
      </c>
      <c r="K50" s="533">
        <f>+J50</f>
        <v>60000</v>
      </c>
      <c r="L50" s="1261"/>
      <c r="N50" s="228"/>
    </row>
    <row r="51" spans="2:14" s="109" customFormat="1" ht="15" customHeight="1" outlineLevel="1" thickBot="1">
      <c r="B51" s="1165"/>
      <c r="C51" s="1166"/>
      <c r="D51" s="395" t="s">
        <v>398</v>
      </c>
      <c r="E51" s="439" t="s">
        <v>310</v>
      </c>
      <c r="F51" s="556" t="s">
        <v>755</v>
      </c>
      <c r="G51" s="440"/>
      <c r="H51" s="440" t="s">
        <v>364</v>
      </c>
      <c r="I51" s="398">
        <f>+VLOOKUP($E51,GenRetL!$E$10:$I$194,5,FALSE)</f>
        <v>0</v>
      </c>
      <c r="J51" s="408">
        <f t="shared" si="5"/>
        <v>0</v>
      </c>
      <c r="K51" s="550">
        <f>+J51</f>
        <v>0</v>
      </c>
      <c r="L51" s="1262"/>
      <c r="N51" s="228"/>
    </row>
    <row r="52" spans="2:14" s="109" customFormat="1" ht="14" thickBot="1">
      <c r="B52" s="442">
        <v>1.4</v>
      </c>
      <c r="C52" s="1167" t="s">
        <v>14</v>
      </c>
      <c r="D52" s="1167"/>
      <c r="E52" s="1167"/>
      <c r="F52" s="464"/>
      <c r="G52" s="444"/>
      <c r="H52" s="444"/>
      <c r="I52" s="444"/>
      <c r="J52" s="444"/>
      <c r="K52" s="445"/>
      <c r="L52" s="446"/>
      <c r="N52" s="228"/>
    </row>
    <row r="53" spans="2:14" s="109" customFormat="1" ht="15" customHeight="1" outlineLevel="1">
      <c r="B53" s="1162" t="s">
        <v>525</v>
      </c>
      <c r="C53" s="1163"/>
      <c r="D53" s="400" t="s">
        <v>399</v>
      </c>
      <c r="E53" s="401" t="s">
        <v>301</v>
      </c>
      <c r="F53" s="469"/>
      <c r="G53" s="402"/>
      <c r="H53" s="402"/>
      <c r="I53" s="403"/>
      <c r="J53" s="403"/>
      <c r="K53" s="557"/>
      <c r="L53" s="1260">
        <f>+SUM(K53:K55)</f>
        <v>0</v>
      </c>
      <c r="N53" s="228"/>
    </row>
    <row r="54" spans="2:14" s="109" customFormat="1" ht="15" customHeight="1" outlineLevel="1">
      <c r="B54" s="1164"/>
      <c r="C54" s="1160"/>
      <c r="D54" s="373" t="s">
        <v>426</v>
      </c>
      <c r="E54" s="374" t="s">
        <v>301</v>
      </c>
      <c r="F54" s="467"/>
      <c r="G54" s="375"/>
      <c r="H54" s="375"/>
      <c r="I54" s="376"/>
      <c r="J54" s="376"/>
      <c r="K54" s="534"/>
      <c r="L54" s="1261"/>
      <c r="N54" s="228"/>
    </row>
    <row r="55" spans="2:14" s="109" customFormat="1" ht="15" customHeight="1" outlineLevel="1" thickBot="1">
      <c r="B55" s="1165"/>
      <c r="C55" s="1166"/>
      <c r="D55" s="395" t="s">
        <v>401</v>
      </c>
      <c r="E55" s="396" t="s">
        <v>301</v>
      </c>
      <c r="F55" s="468"/>
      <c r="G55" s="397"/>
      <c r="H55" s="397"/>
      <c r="I55" s="398"/>
      <c r="J55" s="398"/>
      <c r="K55" s="551"/>
      <c r="L55" s="1262"/>
      <c r="N55" s="228"/>
    </row>
    <row r="56" spans="2:14" s="109" customFormat="1" ht="14" thickBot="1">
      <c r="B56" s="442">
        <v>1.5</v>
      </c>
      <c r="C56" s="1167" t="s">
        <v>16</v>
      </c>
      <c r="D56" s="1167"/>
      <c r="E56" s="1167"/>
      <c r="F56" s="464"/>
      <c r="G56" s="444"/>
      <c r="H56" s="444"/>
      <c r="I56" s="444"/>
      <c r="J56" s="444"/>
      <c r="K56" s="445"/>
      <c r="L56" s="446"/>
      <c r="N56" s="228"/>
    </row>
    <row r="57" spans="2:14" s="109" customFormat="1" ht="15" customHeight="1" outlineLevel="1">
      <c r="B57" s="1162" t="s">
        <v>526</v>
      </c>
      <c r="C57" s="1163"/>
      <c r="D57" s="1248" t="s">
        <v>402</v>
      </c>
      <c r="E57" s="392" t="s">
        <v>490</v>
      </c>
      <c r="F57" s="465"/>
      <c r="G57" s="393">
        <v>1</v>
      </c>
      <c r="H57" s="393" t="s">
        <v>364</v>
      </c>
      <c r="I57" s="403">
        <f>+VLOOKUP(E57,'Line items'!$B$3:$D$115,3,FALSE)</f>
        <v>5000</v>
      </c>
      <c r="J57" s="394">
        <f t="shared" ref="J57:J61" si="6">+I57*G57</f>
        <v>5000</v>
      </c>
      <c r="K57" s="1219">
        <f>+SUM(J57:J59)</f>
        <v>6000</v>
      </c>
      <c r="L57" s="1260">
        <f>+SUM(K57:K62)</f>
        <v>17000</v>
      </c>
      <c r="N57" s="228"/>
    </row>
    <row r="58" spans="2:14" s="109" customFormat="1" ht="15" customHeight="1" outlineLevel="1">
      <c r="B58" s="1164"/>
      <c r="C58" s="1160"/>
      <c r="D58" s="1249"/>
      <c r="E58" s="370" t="s">
        <v>667</v>
      </c>
      <c r="F58" s="466"/>
      <c r="G58" s="371">
        <v>1</v>
      </c>
      <c r="H58" s="371" t="s">
        <v>364</v>
      </c>
      <c r="I58" s="376">
        <f>+VLOOKUP(E58,'Line items'!$B$3:$D$115,3,FALSE)</f>
        <v>1000</v>
      </c>
      <c r="J58" s="372">
        <f t="shared" si="6"/>
        <v>1000</v>
      </c>
      <c r="K58" s="1220"/>
      <c r="L58" s="1261"/>
      <c r="N58" s="228"/>
    </row>
    <row r="59" spans="2:14" s="109" customFormat="1" ht="15" customHeight="1" outlineLevel="1">
      <c r="B59" s="1164"/>
      <c r="C59" s="1160"/>
      <c r="D59" s="1249"/>
      <c r="E59" s="370" t="s">
        <v>312</v>
      </c>
      <c r="F59" s="466"/>
      <c r="G59" s="371"/>
      <c r="H59" s="371"/>
      <c r="I59" s="372"/>
      <c r="J59" s="372"/>
      <c r="K59" s="1220"/>
      <c r="L59" s="1261"/>
      <c r="N59" s="228"/>
    </row>
    <row r="60" spans="2:14" s="109" customFormat="1" ht="15" customHeight="1" outlineLevel="1">
      <c r="B60" s="1164"/>
      <c r="C60" s="1160"/>
      <c r="D60" s="1249" t="s">
        <v>403</v>
      </c>
      <c r="E60" s="370" t="s">
        <v>313</v>
      </c>
      <c r="F60" s="466"/>
      <c r="G60" s="371">
        <v>30</v>
      </c>
      <c r="H60" s="371" t="s">
        <v>360</v>
      </c>
      <c r="I60" s="376">
        <f>+VLOOKUP(E60,'Line items'!$B$3:$D$115,3,FALSE)</f>
        <v>200</v>
      </c>
      <c r="J60" s="372">
        <f t="shared" si="6"/>
        <v>6000</v>
      </c>
      <c r="K60" s="1220">
        <f>+SUM(J60:J61)</f>
        <v>11000</v>
      </c>
      <c r="L60" s="1261"/>
      <c r="N60" s="228"/>
    </row>
    <row r="61" spans="2:14" s="109" customFormat="1" ht="15" customHeight="1" outlineLevel="1">
      <c r="B61" s="1164"/>
      <c r="C61" s="1160"/>
      <c r="D61" s="1249"/>
      <c r="E61" s="370" t="s">
        <v>490</v>
      </c>
      <c r="F61" s="466"/>
      <c r="G61" s="371">
        <v>1</v>
      </c>
      <c r="H61" s="371" t="s">
        <v>364</v>
      </c>
      <c r="I61" s="376">
        <f>+VLOOKUP(E61,'Line items'!$B$3:$D$115,3,FALSE)</f>
        <v>5000</v>
      </c>
      <c r="J61" s="372">
        <f t="shared" si="6"/>
        <v>5000</v>
      </c>
      <c r="K61" s="1220"/>
      <c r="L61" s="1261"/>
      <c r="N61" s="228"/>
    </row>
    <row r="62" spans="2:14" s="109" customFormat="1" ht="15" customHeight="1" outlineLevel="1" thickBot="1">
      <c r="B62" s="1172"/>
      <c r="C62" s="1161"/>
      <c r="D62" s="381" t="s">
        <v>404</v>
      </c>
      <c r="E62" s="427" t="s">
        <v>88</v>
      </c>
      <c r="F62" s="488"/>
      <c r="G62" s="428"/>
      <c r="H62" s="428"/>
      <c r="I62" s="426"/>
      <c r="J62" s="426"/>
      <c r="K62" s="542"/>
      <c r="L62" s="1263"/>
      <c r="N62" s="228"/>
    </row>
    <row r="63" spans="2:14" s="109" customFormat="1" ht="14" thickBot="1">
      <c r="B63" s="442">
        <v>1.6</v>
      </c>
      <c r="C63" s="1167" t="s">
        <v>18</v>
      </c>
      <c r="D63" s="1167"/>
      <c r="E63" s="1167"/>
      <c r="F63" s="464"/>
      <c r="G63" s="444"/>
      <c r="H63" s="444"/>
      <c r="I63" s="444"/>
      <c r="J63" s="444"/>
      <c r="K63" s="445"/>
      <c r="L63" s="446"/>
      <c r="N63" s="228"/>
    </row>
    <row r="64" spans="2:14" s="109" customFormat="1" ht="15" customHeight="1" outlineLevel="1">
      <c r="B64" s="1162" t="s">
        <v>527</v>
      </c>
      <c r="C64" s="1163"/>
      <c r="D64" s="400" t="s">
        <v>405</v>
      </c>
      <c r="E64" s="401" t="s">
        <v>88</v>
      </c>
      <c r="F64" s="469"/>
      <c r="G64" s="402"/>
      <c r="H64" s="402"/>
      <c r="I64" s="403"/>
      <c r="J64" s="403"/>
      <c r="K64" s="557"/>
      <c r="L64" s="1260">
        <f>+SUM(K64:K66)</f>
        <v>0</v>
      </c>
      <c r="N64" s="228"/>
    </row>
    <row r="65" spans="2:14" s="109" customFormat="1" ht="15" customHeight="1" outlineLevel="1">
      <c r="B65" s="1164"/>
      <c r="C65" s="1160"/>
      <c r="D65" s="373" t="s">
        <v>406</v>
      </c>
      <c r="E65" s="374" t="s">
        <v>88</v>
      </c>
      <c r="F65" s="467"/>
      <c r="G65" s="375"/>
      <c r="H65" s="375"/>
      <c r="I65" s="376"/>
      <c r="J65" s="376"/>
      <c r="K65" s="534"/>
      <c r="L65" s="1261"/>
      <c r="N65" s="228"/>
    </row>
    <row r="66" spans="2:14" s="109" customFormat="1" ht="15" customHeight="1" outlineLevel="1" thickBot="1">
      <c r="B66" s="1165"/>
      <c r="C66" s="1166"/>
      <c r="D66" s="395" t="s">
        <v>407</v>
      </c>
      <c r="E66" s="396" t="s">
        <v>88</v>
      </c>
      <c r="F66" s="468"/>
      <c r="G66" s="397"/>
      <c r="H66" s="397"/>
      <c r="I66" s="398"/>
      <c r="J66" s="398"/>
      <c r="K66" s="551"/>
      <c r="L66" s="1262"/>
      <c r="N66" s="228"/>
    </row>
    <row r="67" spans="2:14" s="109" customFormat="1" ht="14" thickBot="1">
      <c r="B67" s="442">
        <v>1.7</v>
      </c>
      <c r="C67" s="1167" t="s">
        <v>33</v>
      </c>
      <c r="D67" s="1167"/>
      <c r="E67" s="1167"/>
      <c r="F67" s="464"/>
      <c r="G67" s="444"/>
      <c r="H67" s="444"/>
      <c r="I67" s="444"/>
      <c r="J67" s="444"/>
      <c r="K67" s="445"/>
      <c r="L67" s="446"/>
      <c r="N67" s="228"/>
    </row>
    <row r="68" spans="2:14" s="109" customFormat="1" ht="15" customHeight="1" outlineLevel="1">
      <c r="B68" s="1162" t="s">
        <v>528</v>
      </c>
      <c r="C68" s="1163"/>
      <c r="D68" s="400" t="s">
        <v>408</v>
      </c>
      <c r="E68" s="401" t="s">
        <v>88</v>
      </c>
      <c r="F68" s="469"/>
      <c r="G68" s="402"/>
      <c r="H68" s="402"/>
      <c r="I68" s="403"/>
      <c r="J68" s="403"/>
      <c r="K68" s="549"/>
      <c r="L68" s="1260">
        <f>+K70</f>
        <v>19000</v>
      </c>
      <c r="N68" s="228"/>
    </row>
    <row r="69" spans="2:14" s="109" customFormat="1" ht="15" customHeight="1" outlineLevel="1">
      <c r="B69" s="1164"/>
      <c r="C69" s="1160"/>
      <c r="D69" s="373" t="s">
        <v>409</v>
      </c>
      <c r="E69" s="374" t="s">
        <v>88</v>
      </c>
      <c r="F69" s="467"/>
      <c r="G69" s="375"/>
      <c r="H69" s="375"/>
      <c r="I69" s="376"/>
      <c r="J69" s="376"/>
      <c r="K69" s="532"/>
      <c r="L69" s="1261"/>
      <c r="N69" s="228"/>
    </row>
    <row r="70" spans="2:14" s="109" customFormat="1" ht="15" customHeight="1" outlineLevel="1">
      <c r="B70" s="1164"/>
      <c r="C70" s="1160"/>
      <c r="D70" s="1247" t="s">
        <v>410</v>
      </c>
      <c r="E70" s="374" t="s">
        <v>353</v>
      </c>
      <c r="F70" s="478">
        <f>1.6*2000</f>
        <v>3200</v>
      </c>
      <c r="G70" s="375"/>
      <c r="H70" s="375"/>
      <c r="I70" s="376"/>
      <c r="J70" s="376"/>
      <c r="K70" s="1218">
        <f>+SUM(J70:J74)</f>
        <v>19000</v>
      </c>
      <c r="L70" s="1261"/>
      <c r="N70" s="228"/>
    </row>
    <row r="71" spans="2:14" s="109" customFormat="1" ht="15" customHeight="1" outlineLevel="1">
      <c r="B71" s="1164"/>
      <c r="C71" s="1160"/>
      <c r="D71" s="1247"/>
      <c r="E71" s="456" t="s">
        <v>696</v>
      </c>
      <c r="F71" s="467" t="s">
        <v>497</v>
      </c>
      <c r="G71" s="375">
        <v>1</v>
      </c>
      <c r="H71" s="375" t="s">
        <v>364</v>
      </c>
      <c r="I71" s="376">
        <f>+VLOOKUP(E71,'Line items'!$B$3:$D$115,3,FALSE)</f>
        <v>19000</v>
      </c>
      <c r="J71" s="376">
        <f>+I71*G71</f>
        <v>19000</v>
      </c>
      <c r="K71" s="1218"/>
      <c r="L71" s="1261"/>
      <c r="N71" s="228"/>
    </row>
    <row r="72" spans="2:14" s="109" customFormat="1" ht="15" customHeight="1" outlineLevel="1">
      <c r="B72" s="1164"/>
      <c r="C72" s="1160"/>
      <c r="D72" s="1247"/>
      <c r="E72" s="456" t="s">
        <v>697</v>
      </c>
      <c r="F72" s="467"/>
      <c r="G72" s="375"/>
      <c r="H72" s="375" t="s">
        <v>364</v>
      </c>
      <c r="I72" s="376">
        <f>+VLOOKUP(E72,'Line items'!$B$3:$D$115,3,FALSE)</f>
        <v>15130</v>
      </c>
      <c r="J72" s="376">
        <f t="shared" ref="J72:J74" si="7">+I72*G72</f>
        <v>0</v>
      </c>
      <c r="K72" s="1218"/>
      <c r="L72" s="1261"/>
      <c r="N72" s="228"/>
    </row>
    <row r="73" spans="2:14" s="109" customFormat="1" ht="15" customHeight="1" outlineLevel="1">
      <c r="B73" s="1164"/>
      <c r="C73" s="1160"/>
      <c r="D73" s="1247"/>
      <c r="E73" s="374" t="s">
        <v>698</v>
      </c>
      <c r="F73" s="467"/>
      <c r="G73" s="375"/>
      <c r="H73" s="375" t="s">
        <v>364</v>
      </c>
      <c r="I73" s="376">
        <f>+VLOOKUP(E73,'Line items'!$B$3:$D$115,3,FALSE)</f>
        <v>44380</v>
      </c>
      <c r="J73" s="376">
        <f t="shared" si="7"/>
        <v>0</v>
      </c>
      <c r="K73" s="1218"/>
      <c r="L73" s="1261"/>
      <c r="N73" s="228"/>
    </row>
    <row r="74" spans="2:14" s="109" customFormat="1" ht="15" customHeight="1" outlineLevel="1" thickBot="1">
      <c r="B74" s="1165"/>
      <c r="C74" s="1166"/>
      <c r="D74" s="1268"/>
      <c r="E74" s="396" t="s">
        <v>699</v>
      </c>
      <c r="F74" s="468"/>
      <c r="G74" s="397"/>
      <c r="H74" s="397" t="s">
        <v>364</v>
      </c>
      <c r="I74" s="398">
        <f>+VLOOKUP(E74,'Line items'!$B$3:$D$115,3,FALSE)</f>
        <v>44380</v>
      </c>
      <c r="J74" s="398">
        <f t="shared" si="7"/>
        <v>0</v>
      </c>
      <c r="K74" s="1223"/>
      <c r="L74" s="1262"/>
      <c r="N74" s="228"/>
    </row>
    <row r="75" spans="2:14" s="109" customFormat="1" ht="15" customHeight="1" outlineLevel="1">
      <c r="B75" s="1162" t="s">
        <v>529</v>
      </c>
      <c r="C75" s="1163"/>
      <c r="D75" s="558" t="s">
        <v>411</v>
      </c>
      <c r="E75" s="401" t="s">
        <v>88</v>
      </c>
      <c r="F75" s="469"/>
      <c r="G75" s="402"/>
      <c r="H75" s="402"/>
      <c r="I75" s="403"/>
      <c r="J75" s="403"/>
      <c r="K75" s="549"/>
      <c r="L75" s="1260">
        <f>+K77</f>
        <v>19000</v>
      </c>
      <c r="N75" s="228"/>
    </row>
    <row r="76" spans="2:14" s="109" customFormat="1" ht="15" customHeight="1" outlineLevel="1">
      <c r="B76" s="1164"/>
      <c r="C76" s="1160"/>
      <c r="D76" s="380" t="s">
        <v>412</v>
      </c>
      <c r="E76" s="374" t="s">
        <v>88</v>
      </c>
      <c r="F76" s="467"/>
      <c r="G76" s="375"/>
      <c r="H76" s="375"/>
      <c r="I76" s="376"/>
      <c r="J76" s="376"/>
      <c r="K76" s="532"/>
      <c r="L76" s="1261"/>
      <c r="N76" s="228"/>
    </row>
    <row r="77" spans="2:14" s="109" customFormat="1" ht="15" customHeight="1" outlineLevel="1">
      <c r="B77" s="1164"/>
      <c r="C77" s="1160"/>
      <c r="D77" s="1247" t="s">
        <v>413</v>
      </c>
      <c r="E77" s="374" t="s">
        <v>353</v>
      </c>
      <c r="F77" s="478">
        <f>1.6*2000</f>
        <v>3200</v>
      </c>
      <c r="G77" s="375"/>
      <c r="H77" s="375"/>
      <c r="I77" s="376"/>
      <c r="J77" s="376"/>
      <c r="K77" s="1218">
        <f>+SUM(J77:J81)</f>
        <v>19000</v>
      </c>
      <c r="L77" s="1261"/>
      <c r="N77" s="228"/>
    </row>
    <row r="78" spans="2:14" s="109" customFormat="1" ht="15" customHeight="1" outlineLevel="1">
      <c r="B78" s="1164"/>
      <c r="C78" s="1160"/>
      <c r="D78" s="1247"/>
      <c r="E78" s="456" t="s">
        <v>696</v>
      </c>
      <c r="F78" s="467" t="s">
        <v>497</v>
      </c>
      <c r="G78" s="375">
        <v>1</v>
      </c>
      <c r="H78" s="375" t="s">
        <v>364</v>
      </c>
      <c r="I78" s="376">
        <f>+VLOOKUP(E78,'Line items'!$B$3:$D$115,3,FALSE)</f>
        <v>19000</v>
      </c>
      <c r="J78" s="376">
        <f t="shared" ref="J78:J81" si="8">+I78*G78</f>
        <v>19000</v>
      </c>
      <c r="K78" s="1218"/>
      <c r="L78" s="1261"/>
      <c r="N78" s="228"/>
    </row>
    <row r="79" spans="2:14" s="109" customFormat="1" ht="15" customHeight="1" outlineLevel="1">
      <c r="B79" s="1164"/>
      <c r="C79" s="1160"/>
      <c r="D79" s="1247"/>
      <c r="E79" s="456" t="s">
        <v>697</v>
      </c>
      <c r="F79" s="467"/>
      <c r="G79" s="375"/>
      <c r="H79" s="375" t="s">
        <v>364</v>
      </c>
      <c r="I79" s="376">
        <f>+VLOOKUP(E79,'Line items'!$B$3:$D$115,3,FALSE)</f>
        <v>15130</v>
      </c>
      <c r="J79" s="376">
        <f t="shared" si="8"/>
        <v>0</v>
      </c>
      <c r="K79" s="1218"/>
      <c r="L79" s="1261"/>
      <c r="N79" s="228"/>
    </row>
    <row r="80" spans="2:14" s="109" customFormat="1" ht="15" customHeight="1" outlineLevel="1">
      <c r="B80" s="1164"/>
      <c r="C80" s="1160"/>
      <c r="D80" s="1247"/>
      <c r="E80" s="374" t="s">
        <v>698</v>
      </c>
      <c r="F80" s="467"/>
      <c r="G80" s="375"/>
      <c r="H80" s="375" t="s">
        <v>364</v>
      </c>
      <c r="I80" s="376">
        <f>+VLOOKUP(E80,'Line items'!$B$3:$D$115,3,FALSE)</f>
        <v>44380</v>
      </c>
      <c r="J80" s="376">
        <f t="shared" si="8"/>
        <v>0</v>
      </c>
      <c r="K80" s="1218"/>
      <c r="L80" s="1261"/>
      <c r="N80" s="228"/>
    </row>
    <row r="81" spans="2:14" s="109" customFormat="1" ht="15" customHeight="1" outlineLevel="1" thickBot="1">
      <c r="B81" s="1165"/>
      <c r="C81" s="1166"/>
      <c r="D81" s="1268"/>
      <c r="E81" s="396" t="s">
        <v>699</v>
      </c>
      <c r="F81" s="468"/>
      <c r="G81" s="397"/>
      <c r="H81" s="397" t="s">
        <v>364</v>
      </c>
      <c r="I81" s="398">
        <f>+VLOOKUP(E81,'Line items'!$B$3:$D$115,3,FALSE)</f>
        <v>44380</v>
      </c>
      <c r="J81" s="398">
        <f t="shared" si="8"/>
        <v>0</v>
      </c>
      <c r="K81" s="1223"/>
      <c r="L81" s="1262"/>
      <c r="N81" s="228"/>
    </row>
    <row r="82" spans="2:14" s="109" customFormat="1" ht="15" customHeight="1" outlineLevel="1">
      <c r="B82" s="1162" t="s">
        <v>530</v>
      </c>
      <c r="C82" s="1163"/>
      <c r="D82" s="558" t="s">
        <v>414</v>
      </c>
      <c r="E82" s="401" t="s">
        <v>88</v>
      </c>
      <c r="F82" s="469"/>
      <c r="G82" s="402"/>
      <c r="H82" s="402"/>
      <c r="I82" s="403"/>
      <c r="J82" s="403"/>
      <c r="K82" s="549"/>
      <c r="L82" s="1260">
        <f>+K84</f>
        <v>19000</v>
      </c>
      <c r="N82" s="228"/>
    </row>
    <row r="83" spans="2:14" s="109" customFormat="1" ht="15" customHeight="1" outlineLevel="1">
      <c r="B83" s="1164"/>
      <c r="C83" s="1160"/>
      <c r="D83" s="380" t="s">
        <v>415</v>
      </c>
      <c r="E83" s="374" t="s">
        <v>88</v>
      </c>
      <c r="F83" s="467"/>
      <c r="G83" s="375"/>
      <c r="H83" s="375"/>
      <c r="I83" s="376"/>
      <c r="J83" s="376"/>
      <c r="K83" s="532"/>
      <c r="L83" s="1261"/>
      <c r="N83" s="228"/>
    </row>
    <row r="84" spans="2:14" s="109" customFormat="1" ht="15" customHeight="1" outlineLevel="1">
      <c r="B84" s="1164"/>
      <c r="C84" s="1160"/>
      <c r="D84" s="1247" t="s">
        <v>416</v>
      </c>
      <c r="E84" s="374" t="s">
        <v>353</v>
      </c>
      <c r="F84" s="478">
        <f>1.6*2000</f>
        <v>3200</v>
      </c>
      <c r="G84" s="375"/>
      <c r="H84" s="375"/>
      <c r="I84" s="376"/>
      <c r="J84" s="376"/>
      <c r="K84" s="1218">
        <f>+SUM(J84:J88)</f>
        <v>19000</v>
      </c>
      <c r="L84" s="1261"/>
      <c r="N84" s="228"/>
    </row>
    <row r="85" spans="2:14" s="109" customFormat="1" ht="15" customHeight="1" outlineLevel="1">
      <c r="B85" s="1164"/>
      <c r="C85" s="1160"/>
      <c r="D85" s="1247"/>
      <c r="E85" s="456" t="s">
        <v>696</v>
      </c>
      <c r="F85" s="467" t="s">
        <v>497</v>
      </c>
      <c r="G85" s="375">
        <v>1</v>
      </c>
      <c r="H85" s="375" t="s">
        <v>364</v>
      </c>
      <c r="I85" s="376">
        <f>+VLOOKUP(E85,'Line items'!$B$3:$D$115,3,FALSE)</f>
        <v>19000</v>
      </c>
      <c r="J85" s="376">
        <f t="shared" ref="J85:J88" si="9">+I85*G85</f>
        <v>19000</v>
      </c>
      <c r="K85" s="1218"/>
      <c r="L85" s="1261"/>
      <c r="N85" s="228"/>
    </row>
    <row r="86" spans="2:14" s="109" customFormat="1" ht="15" customHeight="1" outlineLevel="1">
      <c r="B86" s="1164"/>
      <c r="C86" s="1160"/>
      <c r="D86" s="1247"/>
      <c r="E86" s="456" t="s">
        <v>697</v>
      </c>
      <c r="F86" s="467"/>
      <c r="G86" s="375"/>
      <c r="H86" s="375" t="s">
        <v>364</v>
      </c>
      <c r="I86" s="376">
        <f>+VLOOKUP(E86,'Line items'!$B$3:$D$115,3,FALSE)</f>
        <v>15130</v>
      </c>
      <c r="J86" s="376">
        <f t="shared" si="9"/>
        <v>0</v>
      </c>
      <c r="K86" s="1218"/>
      <c r="L86" s="1261"/>
      <c r="N86" s="228"/>
    </row>
    <row r="87" spans="2:14" s="109" customFormat="1" ht="15" customHeight="1" outlineLevel="1">
      <c r="B87" s="1164"/>
      <c r="C87" s="1160"/>
      <c r="D87" s="1247"/>
      <c r="E87" s="374" t="s">
        <v>698</v>
      </c>
      <c r="F87" s="467"/>
      <c r="G87" s="375"/>
      <c r="H87" s="375" t="s">
        <v>364</v>
      </c>
      <c r="I87" s="376">
        <f>+VLOOKUP(E87,'Line items'!$B$3:$D$115,3,FALSE)</f>
        <v>44380</v>
      </c>
      <c r="J87" s="376">
        <f t="shared" si="9"/>
        <v>0</v>
      </c>
      <c r="K87" s="1218"/>
      <c r="L87" s="1261"/>
      <c r="N87" s="228"/>
    </row>
    <row r="88" spans="2:14" s="109" customFormat="1" ht="15" customHeight="1" outlineLevel="1" thickBot="1">
      <c r="B88" s="1165"/>
      <c r="C88" s="1166"/>
      <c r="D88" s="1268"/>
      <c r="E88" s="396" t="s">
        <v>699</v>
      </c>
      <c r="F88" s="468"/>
      <c r="G88" s="397"/>
      <c r="H88" s="397" t="s">
        <v>364</v>
      </c>
      <c r="I88" s="398">
        <f>+VLOOKUP(E88,'Line items'!$B$3:$D$115,3,FALSE)</f>
        <v>44380</v>
      </c>
      <c r="J88" s="398">
        <f t="shared" si="9"/>
        <v>0</v>
      </c>
      <c r="K88" s="1223"/>
      <c r="L88" s="1262"/>
      <c r="N88" s="228"/>
    </row>
    <row r="89" spans="2:14" s="109" customFormat="1" ht="15" customHeight="1" outlineLevel="1">
      <c r="B89" s="1162" t="s">
        <v>531</v>
      </c>
      <c r="C89" s="1163"/>
      <c r="D89" s="558" t="s">
        <v>417</v>
      </c>
      <c r="E89" s="401" t="s">
        <v>88</v>
      </c>
      <c r="F89" s="469"/>
      <c r="G89" s="402"/>
      <c r="H89" s="402"/>
      <c r="I89" s="403"/>
      <c r="J89" s="403"/>
      <c r="K89" s="549"/>
      <c r="L89" s="1260">
        <f>+K91</f>
        <v>19000</v>
      </c>
      <c r="N89" s="228"/>
    </row>
    <row r="90" spans="2:14" s="109" customFormat="1" ht="15" customHeight="1" outlineLevel="1">
      <c r="B90" s="1164"/>
      <c r="C90" s="1160"/>
      <c r="D90" s="380" t="s">
        <v>418</v>
      </c>
      <c r="E90" s="374" t="s">
        <v>88</v>
      </c>
      <c r="F90" s="467"/>
      <c r="G90" s="375"/>
      <c r="H90" s="375"/>
      <c r="I90" s="376"/>
      <c r="J90" s="376"/>
      <c r="K90" s="532"/>
      <c r="L90" s="1261"/>
      <c r="N90" s="228"/>
    </row>
    <row r="91" spans="2:14" s="109" customFormat="1" ht="15" customHeight="1" outlineLevel="1">
      <c r="B91" s="1164"/>
      <c r="C91" s="1160"/>
      <c r="D91" s="1247" t="s">
        <v>419</v>
      </c>
      <c r="E91" s="374" t="s">
        <v>353</v>
      </c>
      <c r="F91" s="478">
        <f>1.6*2000</f>
        <v>3200</v>
      </c>
      <c r="G91" s="375"/>
      <c r="H91" s="375"/>
      <c r="I91" s="376"/>
      <c r="J91" s="376"/>
      <c r="K91" s="1218">
        <f>+SUM(J91:J95)</f>
        <v>19000</v>
      </c>
      <c r="L91" s="1261"/>
      <c r="N91" s="228"/>
    </row>
    <row r="92" spans="2:14" s="109" customFormat="1" ht="15" customHeight="1" outlineLevel="1">
      <c r="B92" s="1164"/>
      <c r="C92" s="1160"/>
      <c r="D92" s="1247"/>
      <c r="E92" s="456" t="s">
        <v>696</v>
      </c>
      <c r="F92" s="467" t="s">
        <v>497</v>
      </c>
      <c r="G92" s="375">
        <v>1</v>
      </c>
      <c r="H92" s="375" t="s">
        <v>364</v>
      </c>
      <c r="I92" s="376">
        <f>+VLOOKUP(E92,'Line items'!$B$3:$D$115,3,FALSE)</f>
        <v>19000</v>
      </c>
      <c r="J92" s="376">
        <f t="shared" ref="J92:J95" si="10">+I92*G92</f>
        <v>19000</v>
      </c>
      <c r="K92" s="1218"/>
      <c r="L92" s="1261"/>
      <c r="N92" s="228"/>
    </row>
    <row r="93" spans="2:14" s="109" customFormat="1" ht="15" customHeight="1" outlineLevel="1">
      <c r="B93" s="1164"/>
      <c r="C93" s="1160"/>
      <c r="D93" s="1247"/>
      <c r="E93" s="456" t="s">
        <v>697</v>
      </c>
      <c r="F93" s="467"/>
      <c r="G93" s="375"/>
      <c r="H93" s="375" t="s">
        <v>364</v>
      </c>
      <c r="I93" s="376">
        <f>+VLOOKUP(E93,'Line items'!$B$3:$D$115,3,FALSE)</f>
        <v>15130</v>
      </c>
      <c r="J93" s="376">
        <f t="shared" si="10"/>
        <v>0</v>
      </c>
      <c r="K93" s="1218"/>
      <c r="L93" s="1261"/>
      <c r="N93" s="228"/>
    </row>
    <row r="94" spans="2:14" s="109" customFormat="1" ht="15" customHeight="1" outlineLevel="1">
      <c r="B94" s="1164"/>
      <c r="C94" s="1160"/>
      <c r="D94" s="1247"/>
      <c r="E94" s="374" t="s">
        <v>698</v>
      </c>
      <c r="F94" s="467"/>
      <c r="G94" s="375"/>
      <c r="H94" s="375" t="s">
        <v>364</v>
      </c>
      <c r="I94" s="376">
        <f>+VLOOKUP(E94,'Line items'!$B$3:$D$115,3,FALSE)</f>
        <v>44380</v>
      </c>
      <c r="J94" s="376">
        <f t="shared" si="10"/>
        <v>0</v>
      </c>
      <c r="K94" s="1218"/>
      <c r="L94" s="1261"/>
      <c r="N94" s="228"/>
    </row>
    <row r="95" spans="2:14" s="109" customFormat="1" ht="15" customHeight="1" outlineLevel="1" thickBot="1">
      <c r="B95" s="1165"/>
      <c r="C95" s="1166"/>
      <c r="D95" s="1268"/>
      <c r="E95" s="396" t="s">
        <v>699</v>
      </c>
      <c r="F95" s="468"/>
      <c r="G95" s="397"/>
      <c r="H95" s="397" t="s">
        <v>364</v>
      </c>
      <c r="I95" s="398">
        <f>+VLOOKUP(E95,'Line items'!$B$3:$D$115,3,FALSE)</f>
        <v>44380</v>
      </c>
      <c r="J95" s="398">
        <f t="shared" si="10"/>
        <v>0</v>
      </c>
      <c r="K95" s="1223"/>
      <c r="L95" s="1262"/>
      <c r="N95" s="228"/>
    </row>
    <row r="96" spans="2:14" s="109" customFormat="1" ht="14" thickBot="1">
      <c r="B96" s="442">
        <v>1.8</v>
      </c>
      <c r="C96" s="1167" t="s">
        <v>22</v>
      </c>
      <c r="D96" s="1167"/>
      <c r="E96" s="1167"/>
      <c r="F96" s="464"/>
      <c r="G96" s="444"/>
      <c r="H96" s="444"/>
      <c r="I96" s="444"/>
      <c r="J96" s="444"/>
      <c r="K96" s="445"/>
      <c r="L96" s="446"/>
      <c r="N96" s="228"/>
    </row>
    <row r="97" spans="2:14" s="109" customFormat="1" ht="15" customHeight="1" outlineLevel="1">
      <c r="B97" s="1162" t="s">
        <v>532</v>
      </c>
      <c r="C97" s="1163"/>
      <c r="D97" s="400" t="s">
        <v>420</v>
      </c>
      <c r="E97" s="401" t="s">
        <v>695</v>
      </c>
      <c r="F97" s="469"/>
      <c r="G97" s="402">
        <v>2</v>
      </c>
      <c r="H97" s="402" t="s">
        <v>364</v>
      </c>
      <c r="I97" s="403">
        <f>+VLOOKUP(E97,'Line items'!$B$3:$D$115,3,FALSE)</f>
        <v>500</v>
      </c>
      <c r="J97" s="403">
        <f>+I97*G97</f>
        <v>1000</v>
      </c>
      <c r="K97" s="549">
        <f>+J97</f>
        <v>1000</v>
      </c>
      <c r="L97" s="1260">
        <f>+SUM(K97:K99)</f>
        <v>1000</v>
      </c>
      <c r="N97" s="228"/>
    </row>
    <row r="98" spans="2:14" s="109" customFormat="1" ht="15" customHeight="1" outlineLevel="1">
      <c r="B98" s="1164"/>
      <c r="C98" s="1160"/>
      <c r="D98" s="373" t="s">
        <v>421</v>
      </c>
      <c r="E98" s="374" t="s">
        <v>88</v>
      </c>
      <c r="F98" s="467"/>
      <c r="G98" s="375"/>
      <c r="H98" s="375"/>
      <c r="I98" s="376"/>
      <c r="J98" s="376"/>
      <c r="K98" s="534"/>
      <c r="L98" s="1261"/>
      <c r="N98" s="228"/>
    </row>
    <row r="99" spans="2:14" s="109" customFormat="1" ht="15" customHeight="1" outlineLevel="1" thickBot="1">
      <c r="B99" s="1165"/>
      <c r="C99" s="1166"/>
      <c r="D99" s="395" t="s">
        <v>422</v>
      </c>
      <c r="E99" s="396" t="s">
        <v>88</v>
      </c>
      <c r="F99" s="468"/>
      <c r="G99" s="397"/>
      <c r="H99" s="397"/>
      <c r="I99" s="398"/>
      <c r="J99" s="398"/>
      <c r="K99" s="551"/>
      <c r="L99" s="1262"/>
      <c r="N99" s="228"/>
    </row>
    <row r="100" spans="2:14" s="109" customFormat="1" ht="15" customHeight="1" outlineLevel="1">
      <c r="B100" s="1162" t="s">
        <v>533</v>
      </c>
      <c r="C100" s="1163"/>
      <c r="D100" s="1248" t="s">
        <v>423</v>
      </c>
      <c r="E100" s="401" t="s">
        <v>315</v>
      </c>
      <c r="F100" s="469"/>
      <c r="G100" s="402">
        <v>1</v>
      </c>
      <c r="H100" s="402" t="s">
        <v>364</v>
      </c>
      <c r="I100" s="403">
        <f>+VLOOKUP(E100,'Line items'!$B$3:$D$115,3,FALSE)</f>
        <v>5000</v>
      </c>
      <c r="J100" s="403">
        <f>+I100*G100</f>
        <v>5000</v>
      </c>
      <c r="K100" s="1217">
        <f>+SUM(J100:J101)</f>
        <v>65000</v>
      </c>
      <c r="L100" s="1260">
        <f>+SUM(K100:K103)</f>
        <v>65000</v>
      </c>
      <c r="N100" s="228"/>
    </row>
    <row r="101" spans="2:14" s="109" customFormat="1" ht="15" customHeight="1" outlineLevel="1">
      <c r="B101" s="1164"/>
      <c r="C101" s="1160"/>
      <c r="D101" s="1249"/>
      <c r="E101" s="374" t="s">
        <v>700</v>
      </c>
      <c r="F101" s="467"/>
      <c r="G101" s="375">
        <v>300</v>
      </c>
      <c r="H101" s="375" t="s">
        <v>360</v>
      </c>
      <c r="I101" s="376">
        <f>+VLOOKUP(E101,'Line items'!$B$3:$D$115,3,FALSE)</f>
        <v>200</v>
      </c>
      <c r="J101" s="376">
        <f>+I101*G101</f>
        <v>60000</v>
      </c>
      <c r="K101" s="1218"/>
      <c r="L101" s="1261"/>
      <c r="N101" s="228"/>
    </row>
    <row r="102" spans="2:14" s="109" customFormat="1" ht="15" customHeight="1" outlineLevel="1">
      <c r="B102" s="1164"/>
      <c r="C102" s="1160"/>
      <c r="D102" s="373" t="s">
        <v>424</v>
      </c>
      <c r="E102" s="374" t="s">
        <v>88</v>
      </c>
      <c r="F102" s="467"/>
      <c r="G102" s="375"/>
      <c r="H102" s="375"/>
      <c r="I102" s="376"/>
      <c r="J102" s="376"/>
      <c r="K102" s="534"/>
      <c r="L102" s="1261"/>
      <c r="N102" s="228"/>
    </row>
    <row r="103" spans="2:14" s="109" customFormat="1" ht="15" customHeight="1" outlineLevel="1" thickBot="1">
      <c r="B103" s="1172"/>
      <c r="C103" s="1161"/>
      <c r="D103" s="381" t="s">
        <v>425</v>
      </c>
      <c r="E103" s="382" t="s">
        <v>88</v>
      </c>
      <c r="F103" s="470"/>
      <c r="G103" s="383"/>
      <c r="H103" s="383"/>
      <c r="I103" s="384"/>
      <c r="J103" s="384"/>
      <c r="K103" s="541"/>
      <c r="L103" s="1263"/>
      <c r="N103" s="228"/>
    </row>
    <row r="104" spans="2:14" s="109" customFormat="1" ht="14" thickBot="1">
      <c r="B104" s="490">
        <v>2</v>
      </c>
      <c r="C104" s="491" t="s">
        <v>316</v>
      </c>
      <c r="D104" s="492"/>
      <c r="E104" s="493"/>
      <c r="F104" s="494"/>
      <c r="G104" s="495"/>
      <c r="H104" s="495"/>
      <c r="I104" s="496"/>
      <c r="J104" s="496"/>
      <c r="K104" s="560"/>
      <c r="L104" s="561"/>
      <c r="N104" s="228"/>
    </row>
    <row r="105" spans="2:14" s="109" customFormat="1" ht="14" thickBot="1">
      <c r="B105" s="499">
        <v>2.1</v>
      </c>
      <c r="C105" s="1210" t="s">
        <v>34</v>
      </c>
      <c r="D105" s="1210"/>
      <c r="E105" s="1210"/>
      <c r="F105" s="500"/>
      <c r="G105" s="501"/>
      <c r="H105" s="501"/>
      <c r="I105" s="502"/>
      <c r="J105" s="502"/>
      <c r="K105" s="562"/>
      <c r="L105" s="563"/>
      <c r="N105" s="228"/>
    </row>
    <row r="106" spans="2:14" s="109" customFormat="1" ht="15" customHeight="1" outlineLevel="1">
      <c r="B106" s="1162" t="s">
        <v>534</v>
      </c>
      <c r="C106" s="1163"/>
      <c r="D106" s="1248" t="s">
        <v>427</v>
      </c>
      <c r="E106" s="401" t="s">
        <v>356</v>
      </c>
      <c r="F106" s="469"/>
      <c r="G106" s="402"/>
      <c r="H106" s="402"/>
      <c r="I106" s="403"/>
      <c r="J106" s="403"/>
      <c r="K106" s="1217">
        <f>+SUM(J106:J108)</f>
        <v>2750</v>
      </c>
      <c r="L106" s="1260">
        <f>+SUM(K106:K110)</f>
        <v>3750</v>
      </c>
      <c r="N106" s="228"/>
    </row>
    <row r="107" spans="2:14" s="109" customFormat="1" ht="15" customHeight="1" outlineLevel="1">
      <c r="B107" s="1164"/>
      <c r="C107" s="1160"/>
      <c r="D107" s="1249"/>
      <c r="E107" s="370" t="s">
        <v>712</v>
      </c>
      <c r="F107" s="467"/>
      <c r="G107" s="375">
        <v>1</v>
      </c>
      <c r="H107" s="375" t="s">
        <v>364</v>
      </c>
      <c r="I107" s="376">
        <f>+VLOOKUP(E107,'Line items'!$B$3:$D$115,3,FALSE)</f>
        <v>1250</v>
      </c>
      <c r="J107" s="376">
        <f>+I107*G107</f>
        <v>1250</v>
      </c>
      <c r="K107" s="1218"/>
      <c r="L107" s="1261"/>
      <c r="N107" s="228"/>
    </row>
    <row r="108" spans="2:14" s="109" customFormat="1" ht="15" customHeight="1" outlineLevel="1">
      <c r="B108" s="1164"/>
      <c r="C108" s="1160"/>
      <c r="D108" s="1249"/>
      <c r="E108" s="370" t="s">
        <v>713</v>
      </c>
      <c r="F108" s="467"/>
      <c r="G108" s="375">
        <v>1</v>
      </c>
      <c r="H108" s="375" t="s">
        <v>364</v>
      </c>
      <c r="I108" s="376">
        <f>+VLOOKUP(E108,'Line items'!$B$3:$D$115,3,FALSE)</f>
        <v>1500</v>
      </c>
      <c r="J108" s="376">
        <f>+I108*G108</f>
        <v>1500</v>
      </c>
      <c r="K108" s="1218"/>
      <c r="L108" s="1261"/>
      <c r="N108" s="228"/>
    </row>
    <row r="109" spans="2:14" s="109" customFormat="1" ht="15" customHeight="1" outlineLevel="1">
      <c r="B109" s="1164"/>
      <c r="C109" s="1160"/>
      <c r="D109" s="373" t="s">
        <v>428</v>
      </c>
      <c r="E109" s="374" t="s">
        <v>88</v>
      </c>
      <c r="F109" s="467"/>
      <c r="G109" s="375"/>
      <c r="H109" s="375"/>
      <c r="I109" s="376"/>
      <c r="J109" s="376"/>
      <c r="K109" s="534">
        <f>+J109</f>
        <v>0</v>
      </c>
      <c r="L109" s="1261"/>
      <c r="N109" s="228"/>
    </row>
    <row r="110" spans="2:14" s="109" customFormat="1" ht="15" customHeight="1" outlineLevel="1" thickBot="1">
      <c r="B110" s="1165"/>
      <c r="C110" s="1166"/>
      <c r="D110" s="395" t="s">
        <v>429</v>
      </c>
      <c r="E110" s="396" t="s">
        <v>191</v>
      </c>
      <c r="F110" s="468"/>
      <c r="G110" s="397">
        <v>100</v>
      </c>
      <c r="H110" s="397" t="s">
        <v>360</v>
      </c>
      <c r="I110" s="398">
        <f>+VLOOKUP(E110,'Line items'!$B$3:$D$115,3,FALSE)</f>
        <v>10</v>
      </c>
      <c r="J110" s="398">
        <f t="shared" ref="J110:J113" si="11">+I110*G110</f>
        <v>1000</v>
      </c>
      <c r="K110" s="548">
        <f>+J110</f>
        <v>1000</v>
      </c>
      <c r="L110" s="1262"/>
      <c r="N110" s="228"/>
    </row>
    <row r="111" spans="2:14" s="109" customFormat="1" ht="15" customHeight="1" outlineLevel="1">
      <c r="B111" s="1162" t="s">
        <v>535</v>
      </c>
      <c r="C111" s="1163"/>
      <c r="D111" s="1248" t="s">
        <v>430</v>
      </c>
      <c r="E111" s="401" t="s">
        <v>357</v>
      </c>
      <c r="F111" s="469" t="s">
        <v>318</v>
      </c>
      <c r="G111" s="402">
        <v>100</v>
      </c>
      <c r="H111" s="402" t="s">
        <v>360</v>
      </c>
      <c r="I111" s="403">
        <f>+VLOOKUP(E111,'Line items'!$B$3:$D$115,3,FALSE)</f>
        <v>40</v>
      </c>
      <c r="J111" s="403">
        <f t="shared" si="11"/>
        <v>4000</v>
      </c>
      <c r="K111" s="1217">
        <f>+SUM(J111:J113)</f>
        <v>6200</v>
      </c>
      <c r="L111" s="1260">
        <f>+SUM(K111:K115)</f>
        <v>7200</v>
      </c>
      <c r="N111" s="228"/>
    </row>
    <row r="112" spans="2:14" s="109" customFormat="1" ht="15" customHeight="1" outlineLevel="1">
      <c r="B112" s="1164"/>
      <c r="C112" s="1160"/>
      <c r="D112" s="1249"/>
      <c r="E112" s="370" t="s">
        <v>713</v>
      </c>
      <c r="F112" s="467"/>
      <c r="G112" s="375">
        <v>1</v>
      </c>
      <c r="H112" s="375" t="s">
        <v>364</v>
      </c>
      <c r="I112" s="376">
        <f>+VLOOKUP(E112,'Line items'!$B$3:$D$115,3,FALSE)</f>
        <v>1500</v>
      </c>
      <c r="J112" s="376">
        <f t="shared" si="11"/>
        <v>1500</v>
      </c>
      <c r="K112" s="1218"/>
      <c r="L112" s="1261"/>
      <c r="N112" s="228"/>
    </row>
    <row r="113" spans="2:14" s="109" customFormat="1" ht="15" customHeight="1" outlineLevel="1">
      <c r="B113" s="1164"/>
      <c r="C113" s="1160"/>
      <c r="D113" s="1249"/>
      <c r="E113" s="374" t="s">
        <v>705</v>
      </c>
      <c r="F113" s="467"/>
      <c r="G113" s="375">
        <v>1</v>
      </c>
      <c r="H113" s="375" t="s">
        <v>364</v>
      </c>
      <c r="I113" s="376">
        <f>+VLOOKUP(E113,'Line items'!$B$3:$D$115,3,FALSE)</f>
        <v>700</v>
      </c>
      <c r="J113" s="376">
        <f t="shared" si="11"/>
        <v>700</v>
      </c>
      <c r="K113" s="1218"/>
      <c r="L113" s="1261"/>
      <c r="N113" s="228"/>
    </row>
    <row r="114" spans="2:14" s="109" customFormat="1" ht="15" customHeight="1" outlineLevel="1">
      <c r="B114" s="1164"/>
      <c r="C114" s="1160"/>
      <c r="D114" s="373" t="s">
        <v>431</v>
      </c>
      <c r="E114" s="374" t="s">
        <v>88</v>
      </c>
      <c r="F114" s="467"/>
      <c r="G114" s="375"/>
      <c r="H114" s="375"/>
      <c r="I114" s="376"/>
      <c r="J114" s="376"/>
      <c r="K114" s="534"/>
      <c r="L114" s="1261"/>
      <c r="N114" s="228"/>
    </row>
    <row r="115" spans="2:14" s="109" customFormat="1" ht="15" customHeight="1" outlineLevel="1" thickBot="1">
      <c r="B115" s="1165"/>
      <c r="C115" s="1166"/>
      <c r="D115" s="395" t="s">
        <v>432</v>
      </c>
      <c r="E115" s="505" t="s">
        <v>191</v>
      </c>
      <c r="F115" s="468"/>
      <c r="G115" s="397">
        <v>100</v>
      </c>
      <c r="H115" s="397" t="s">
        <v>360</v>
      </c>
      <c r="I115" s="398">
        <f>+VLOOKUP(E115,'Line items'!$B$3:$D$115,3,FALSE)</f>
        <v>10</v>
      </c>
      <c r="J115" s="398">
        <f>+I115*G115</f>
        <v>1000</v>
      </c>
      <c r="K115" s="548">
        <f>+J115</f>
        <v>1000</v>
      </c>
      <c r="L115" s="1262"/>
      <c r="N115" s="228"/>
    </row>
    <row r="116" spans="2:14" s="109" customFormat="1" ht="14" thickBot="1">
      <c r="B116" s="499">
        <v>2.2000000000000002</v>
      </c>
      <c r="C116" s="1210" t="s">
        <v>37</v>
      </c>
      <c r="D116" s="1210"/>
      <c r="E116" s="1210"/>
      <c r="F116" s="500"/>
      <c r="G116" s="501"/>
      <c r="H116" s="501"/>
      <c r="I116" s="502"/>
      <c r="J116" s="502"/>
      <c r="K116" s="562"/>
      <c r="L116" s="563"/>
      <c r="N116" s="228"/>
    </row>
    <row r="117" spans="2:14" s="109" customFormat="1" ht="15" customHeight="1" outlineLevel="1">
      <c r="B117" s="1162" t="s">
        <v>536</v>
      </c>
      <c r="C117" s="1163"/>
      <c r="D117" s="400" t="s">
        <v>433</v>
      </c>
      <c r="E117" s="401" t="s">
        <v>88</v>
      </c>
      <c r="F117" s="469"/>
      <c r="G117" s="402"/>
      <c r="H117" s="402"/>
      <c r="I117" s="403"/>
      <c r="J117" s="403"/>
      <c r="K117" s="557"/>
      <c r="L117" s="1260">
        <f>+SUM(K117:K120)</f>
        <v>300</v>
      </c>
      <c r="N117" s="228"/>
    </row>
    <row r="118" spans="2:14" s="109" customFormat="1" ht="15" customHeight="1" outlineLevel="1">
      <c r="B118" s="1164"/>
      <c r="C118" s="1160"/>
      <c r="D118" s="373" t="s">
        <v>434</v>
      </c>
      <c r="E118" s="374" t="s">
        <v>88</v>
      </c>
      <c r="F118" s="467"/>
      <c r="G118" s="375"/>
      <c r="H118" s="375"/>
      <c r="I118" s="376"/>
      <c r="J118" s="376"/>
      <c r="K118" s="534"/>
      <c r="L118" s="1261"/>
      <c r="N118" s="228"/>
    </row>
    <row r="119" spans="2:14" s="109" customFormat="1" ht="15" customHeight="1" outlineLevel="1">
      <c r="B119" s="1164"/>
      <c r="C119" s="1160"/>
      <c r="D119" s="1249" t="s">
        <v>435</v>
      </c>
      <c r="E119" s="370" t="s">
        <v>707</v>
      </c>
      <c r="F119" s="467"/>
      <c r="G119" s="375">
        <v>2</v>
      </c>
      <c r="H119" s="375" t="s">
        <v>364</v>
      </c>
      <c r="I119" s="376">
        <f>+VLOOKUP(E119,'Line items'!$B$3:$D$115,3,FALSE)</f>
        <v>150</v>
      </c>
      <c r="J119" s="376">
        <f>+I119*G119</f>
        <v>300</v>
      </c>
      <c r="K119" s="1218">
        <f>+J119</f>
        <v>300</v>
      </c>
      <c r="L119" s="1261"/>
      <c r="N119" s="228"/>
    </row>
    <row r="120" spans="2:14" s="109" customFormat="1" ht="15" customHeight="1" outlineLevel="1" thickBot="1">
      <c r="B120" s="1165"/>
      <c r="C120" s="1166"/>
      <c r="D120" s="1250"/>
      <c r="E120" s="396"/>
      <c r="F120" s="468"/>
      <c r="G120" s="397"/>
      <c r="H120" s="397"/>
      <c r="I120" s="398"/>
      <c r="J120" s="398"/>
      <c r="K120" s="1223"/>
      <c r="L120" s="1262"/>
      <c r="N120" s="228"/>
    </row>
    <row r="121" spans="2:14" s="109" customFormat="1" ht="15" customHeight="1" outlineLevel="1">
      <c r="B121" s="1162" t="s">
        <v>537</v>
      </c>
      <c r="C121" s="1163"/>
      <c r="D121" s="400" t="s">
        <v>436</v>
      </c>
      <c r="E121" s="401" t="s">
        <v>88</v>
      </c>
      <c r="F121" s="469"/>
      <c r="G121" s="402"/>
      <c r="H121" s="402"/>
      <c r="I121" s="403"/>
      <c r="J121" s="403"/>
      <c r="K121" s="557"/>
      <c r="L121" s="1260">
        <f>+SUM(K121:K124)</f>
        <v>9000</v>
      </c>
      <c r="N121" s="228"/>
    </row>
    <row r="122" spans="2:14" s="109" customFormat="1" ht="15" customHeight="1" outlineLevel="1">
      <c r="B122" s="1164"/>
      <c r="C122" s="1160"/>
      <c r="D122" s="373" t="s">
        <v>437</v>
      </c>
      <c r="E122" s="374" t="s">
        <v>88</v>
      </c>
      <c r="F122" s="467"/>
      <c r="G122" s="375"/>
      <c r="H122" s="375"/>
      <c r="I122" s="376"/>
      <c r="J122" s="376"/>
      <c r="K122" s="534"/>
      <c r="L122" s="1261"/>
      <c r="N122" s="228"/>
    </row>
    <row r="123" spans="2:14" s="109" customFormat="1" ht="15" customHeight="1" outlineLevel="1">
      <c r="B123" s="1164"/>
      <c r="C123" s="1160"/>
      <c r="D123" s="1249" t="s">
        <v>447</v>
      </c>
      <c r="E123" s="374" t="s">
        <v>319</v>
      </c>
      <c r="F123" s="467"/>
      <c r="G123" s="375"/>
      <c r="H123" s="375"/>
      <c r="I123" s="376"/>
      <c r="J123" s="376"/>
      <c r="K123" s="1218">
        <f>+SUM(J123:J124)</f>
        <v>9000</v>
      </c>
      <c r="L123" s="1261"/>
      <c r="N123" s="228"/>
    </row>
    <row r="124" spans="2:14" s="109" customFormat="1" ht="15" customHeight="1" outlineLevel="1" thickBot="1">
      <c r="B124" s="1165"/>
      <c r="C124" s="1166"/>
      <c r="D124" s="1250"/>
      <c r="E124" s="439" t="s">
        <v>731</v>
      </c>
      <c r="F124" s="468"/>
      <c r="G124" s="397">
        <v>1</v>
      </c>
      <c r="H124" s="397" t="s">
        <v>364</v>
      </c>
      <c r="I124" s="398">
        <f>+VLOOKUP(E124,'Line items'!$B$3:$D$115,3,FALSE)</f>
        <v>9000</v>
      </c>
      <c r="J124" s="398">
        <f>+I124*G124</f>
        <v>9000</v>
      </c>
      <c r="K124" s="1223"/>
      <c r="L124" s="1262"/>
      <c r="N124" s="228"/>
    </row>
    <row r="125" spans="2:14" s="109" customFormat="1" ht="15" customHeight="1" outlineLevel="1">
      <c r="B125" s="1162" t="s">
        <v>538</v>
      </c>
      <c r="C125" s="1163"/>
      <c r="D125" s="1248" t="s">
        <v>438</v>
      </c>
      <c r="E125" s="401"/>
      <c r="F125" s="469"/>
      <c r="G125" s="402"/>
      <c r="H125" s="402"/>
      <c r="I125" s="403"/>
      <c r="J125" s="403"/>
      <c r="K125" s="1217">
        <f>+SUM(J125:J127)</f>
        <v>12000</v>
      </c>
      <c r="L125" s="1260">
        <f>+SUM(K125:K129)</f>
        <v>13000</v>
      </c>
      <c r="N125" s="228"/>
    </row>
    <row r="126" spans="2:14" s="109" customFormat="1" ht="15" customHeight="1" outlineLevel="1">
      <c r="B126" s="1164"/>
      <c r="C126" s="1160"/>
      <c r="D126" s="1249"/>
      <c r="E126" s="374" t="s">
        <v>346</v>
      </c>
      <c r="F126" s="467"/>
      <c r="G126" s="375">
        <v>100</v>
      </c>
      <c r="H126" s="375" t="s">
        <v>360</v>
      </c>
      <c r="I126" s="376">
        <f>+VLOOKUP(E126,'Line items'!$B$3:$D$115,3,FALSE)</f>
        <v>30</v>
      </c>
      <c r="J126" s="376">
        <f t="shared" ref="J126:J127" si="12">+I126*G126</f>
        <v>3000</v>
      </c>
      <c r="K126" s="1218"/>
      <c r="L126" s="1261"/>
      <c r="N126" s="228"/>
    </row>
    <row r="127" spans="2:14" s="109" customFormat="1" ht="15" customHeight="1" outlineLevel="1">
      <c r="B127" s="1164"/>
      <c r="C127" s="1160"/>
      <c r="D127" s="1249"/>
      <c r="E127" s="370" t="s">
        <v>731</v>
      </c>
      <c r="F127" s="467"/>
      <c r="G127" s="375">
        <v>1</v>
      </c>
      <c r="H127" s="375" t="s">
        <v>364</v>
      </c>
      <c r="I127" s="376">
        <f>+VLOOKUP(E127,'Line items'!$B$3:$D$115,3,FALSE)</f>
        <v>9000</v>
      </c>
      <c r="J127" s="376">
        <f t="shared" si="12"/>
        <v>9000</v>
      </c>
      <c r="K127" s="1218"/>
      <c r="L127" s="1261"/>
      <c r="N127" s="228"/>
    </row>
    <row r="128" spans="2:14" s="109" customFormat="1" ht="15" customHeight="1" outlineLevel="1">
      <c r="B128" s="1164"/>
      <c r="C128" s="1160"/>
      <c r="D128" s="373" t="s">
        <v>439</v>
      </c>
      <c r="E128" s="374" t="s">
        <v>88</v>
      </c>
      <c r="F128" s="467"/>
      <c r="G128" s="375"/>
      <c r="H128" s="375"/>
      <c r="I128" s="376"/>
      <c r="J128" s="376"/>
      <c r="K128" s="534"/>
      <c r="L128" s="1261"/>
      <c r="N128" s="228"/>
    </row>
    <row r="129" spans="2:14" s="109" customFormat="1" ht="15" customHeight="1" outlineLevel="1" thickBot="1">
      <c r="B129" s="1165"/>
      <c r="C129" s="1166"/>
      <c r="D129" s="395" t="s">
        <v>440</v>
      </c>
      <c r="E129" s="396" t="s">
        <v>191</v>
      </c>
      <c r="F129" s="468"/>
      <c r="G129" s="397">
        <v>100</v>
      </c>
      <c r="H129" s="397" t="s">
        <v>360</v>
      </c>
      <c r="I129" s="398">
        <f>+VLOOKUP(E129,'Line items'!$B$3:$D$115,3,FALSE)</f>
        <v>10</v>
      </c>
      <c r="J129" s="398">
        <f>+I129*G129</f>
        <v>1000</v>
      </c>
      <c r="K129" s="548">
        <f>+J129</f>
        <v>1000</v>
      </c>
      <c r="L129" s="1262"/>
      <c r="N129" s="228"/>
    </row>
    <row r="130" spans="2:14" s="109" customFormat="1" ht="14" thickBot="1">
      <c r="B130" s="499">
        <v>2.2999999999999998</v>
      </c>
      <c r="C130" s="1210" t="s">
        <v>38</v>
      </c>
      <c r="D130" s="1210"/>
      <c r="E130" s="1210"/>
      <c r="F130" s="500"/>
      <c r="G130" s="501"/>
      <c r="H130" s="501"/>
      <c r="I130" s="502"/>
      <c r="J130" s="502"/>
      <c r="K130" s="562"/>
      <c r="L130" s="563"/>
      <c r="N130" s="228"/>
    </row>
    <row r="131" spans="2:14" s="109" customFormat="1" ht="15" customHeight="1" outlineLevel="1">
      <c r="B131" s="1162" t="s">
        <v>539</v>
      </c>
      <c r="C131" s="1163"/>
      <c r="D131" s="400" t="s">
        <v>441</v>
      </c>
      <c r="E131" s="401" t="s">
        <v>321</v>
      </c>
      <c r="F131" s="469"/>
      <c r="G131" s="402">
        <v>100</v>
      </c>
      <c r="H131" s="402" t="s">
        <v>360</v>
      </c>
      <c r="I131" s="403">
        <f>+VLOOKUP(E131,'Line items'!$B$3:$D$115,3,FALSE)</f>
        <v>10</v>
      </c>
      <c r="J131" s="403">
        <f>+I131*G131</f>
        <v>1000</v>
      </c>
      <c r="K131" s="549">
        <f>+J131</f>
        <v>1000</v>
      </c>
      <c r="L131" s="1260">
        <f>+SUM(K131:K135)</f>
        <v>21000</v>
      </c>
      <c r="N131" s="228"/>
    </row>
    <row r="132" spans="2:14" s="109" customFormat="1" ht="15" customHeight="1" outlineLevel="1">
      <c r="B132" s="1164"/>
      <c r="C132" s="1160"/>
      <c r="D132" s="373" t="s">
        <v>442</v>
      </c>
      <c r="E132" s="374" t="s">
        <v>88</v>
      </c>
      <c r="F132" s="467"/>
      <c r="G132" s="375"/>
      <c r="H132" s="375"/>
      <c r="I132" s="376"/>
      <c r="J132" s="376"/>
      <c r="K132" s="534"/>
      <c r="L132" s="1261"/>
      <c r="N132" s="228"/>
    </row>
    <row r="133" spans="2:14" s="109" customFormat="1" ht="15" customHeight="1" outlineLevel="1">
      <c r="B133" s="1164"/>
      <c r="C133" s="1160"/>
      <c r="D133" s="1249" t="s">
        <v>443</v>
      </c>
      <c r="E133" s="374" t="s">
        <v>647</v>
      </c>
      <c r="F133" s="467"/>
      <c r="G133" s="375">
        <v>2000</v>
      </c>
      <c r="H133" s="375" t="s">
        <v>95</v>
      </c>
      <c r="I133" s="376">
        <f>+VLOOKUP(E133,'Line items'!$B$3:$D$115,3,FALSE)</f>
        <v>10</v>
      </c>
      <c r="J133" s="376">
        <f>+I133*G133</f>
        <v>20000</v>
      </c>
      <c r="K133" s="1218">
        <f>+SUM(J133:J135)</f>
        <v>20000</v>
      </c>
      <c r="L133" s="1261"/>
      <c r="N133" s="228"/>
    </row>
    <row r="134" spans="2:14" s="109" customFormat="1" ht="15" customHeight="1" outlineLevel="1">
      <c r="B134" s="1164"/>
      <c r="C134" s="1160"/>
      <c r="D134" s="1249"/>
      <c r="E134" s="374"/>
      <c r="F134" s="467"/>
      <c r="G134" s="375"/>
      <c r="H134" s="375"/>
      <c r="I134" s="376"/>
      <c r="J134" s="376">
        <f t="shared" ref="J134:J136" si="13">+I134*G134</f>
        <v>0</v>
      </c>
      <c r="K134" s="1218"/>
      <c r="L134" s="1261"/>
      <c r="N134" s="228"/>
    </row>
    <row r="135" spans="2:14" s="109" customFormat="1" ht="15" customHeight="1" outlineLevel="1" thickBot="1">
      <c r="B135" s="1165"/>
      <c r="C135" s="1166"/>
      <c r="D135" s="1250"/>
      <c r="E135" s="505"/>
      <c r="F135" s="468"/>
      <c r="G135" s="397"/>
      <c r="H135" s="397"/>
      <c r="I135" s="398"/>
      <c r="J135" s="398">
        <f t="shared" si="13"/>
        <v>0</v>
      </c>
      <c r="K135" s="1223"/>
      <c r="L135" s="1262"/>
      <c r="N135" s="228"/>
    </row>
    <row r="136" spans="2:14" s="109" customFormat="1" ht="15" customHeight="1" outlineLevel="1">
      <c r="B136" s="1162" t="s">
        <v>540</v>
      </c>
      <c r="C136" s="1163"/>
      <c r="D136" s="400" t="s">
        <v>444</v>
      </c>
      <c r="E136" s="401" t="s">
        <v>321</v>
      </c>
      <c r="F136" s="469"/>
      <c r="G136" s="402">
        <v>100</v>
      </c>
      <c r="H136" s="402" t="s">
        <v>360</v>
      </c>
      <c r="I136" s="403">
        <f>+VLOOKUP($E136,GenRetL!$E$10:$I$194,5,FALSE)</f>
        <v>10</v>
      </c>
      <c r="J136" s="403">
        <f t="shared" si="13"/>
        <v>1000</v>
      </c>
      <c r="K136" s="549">
        <f>+J136</f>
        <v>1000</v>
      </c>
      <c r="L136" s="1260">
        <f>+SUM(K136:K140)</f>
        <v>21000</v>
      </c>
      <c r="N136" s="228"/>
    </row>
    <row r="137" spans="2:14" s="109" customFormat="1" ht="15" customHeight="1" outlineLevel="1">
      <c r="B137" s="1164"/>
      <c r="C137" s="1160"/>
      <c r="D137" s="373" t="s">
        <v>445</v>
      </c>
      <c r="E137" s="374" t="s">
        <v>88</v>
      </c>
      <c r="F137" s="467"/>
      <c r="G137" s="375"/>
      <c r="H137" s="375"/>
      <c r="I137" s="376"/>
      <c r="J137" s="376"/>
      <c r="K137" s="534"/>
      <c r="L137" s="1261"/>
      <c r="N137" s="228"/>
    </row>
    <row r="138" spans="2:14" s="109" customFormat="1" ht="15" customHeight="1" outlineLevel="1">
      <c r="B138" s="1164"/>
      <c r="C138" s="1160"/>
      <c r="D138" s="1249" t="s">
        <v>446</v>
      </c>
      <c r="E138" s="374" t="s">
        <v>647</v>
      </c>
      <c r="F138" s="467"/>
      <c r="G138" s="375">
        <v>2000</v>
      </c>
      <c r="H138" s="375" t="s">
        <v>95</v>
      </c>
      <c r="I138" s="376">
        <f>+VLOOKUP($E138,GenRetL!$E$10:$I$194,5,FALSE)</f>
        <v>10</v>
      </c>
      <c r="J138" s="376">
        <f>+I138*G138</f>
        <v>20000</v>
      </c>
      <c r="K138" s="1218">
        <f>+SUM(J138:J140)</f>
        <v>20000</v>
      </c>
      <c r="L138" s="1261"/>
      <c r="N138" s="228"/>
    </row>
    <row r="139" spans="2:14" s="109" customFormat="1" ht="15" customHeight="1" outlineLevel="1">
      <c r="B139" s="1164"/>
      <c r="C139" s="1160"/>
      <c r="D139" s="1249"/>
      <c r="E139" s="374"/>
      <c r="F139" s="467"/>
      <c r="G139" s="375"/>
      <c r="H139" s="375"/>
      <c r="I139" s="376"/>
      <c r="J139" s="376"/>
      <c r="K139" s="1218"/>
      <c r="L139" s="1261"/>
      <c r="N139" s="228"/>
    </row>
    <row r="140" spans="2:14" s="109" customFormat="1" ht="15" customHeight="1" outlineLevel="1" thickBot="1">
      <c r="B140" s="1172"/>
      <c r="C140" s="1161"/>
      <c r="D140" s="1256"/>
      <c r="E140" s="487"/>
      <c r="F140" s="470"/>
      <c r="G140" s="383"/>
      <c r="H140" s="383"/>
      <c r="I140" s="384"/>
      <c r="J140" s="384"/>
      <c r="K140" s="1255"/>
      <c r="L140" s="1263"/>
      <c r="N140" s="228"/>
    </row>
    <row r="141" spans="2:14" s="109" customFormat="1" ht="14" thickBot="1">
      <c r="B141" s="510">
        <v>3</v>
      </c>
      <c r="C141" s="511" t="s">
        <v>53</v>
      </c>
      <c r="D141" s="512"/>
      <c r="E141" s="513"/>
      <c r="F141" s="514"/>
      <c r="G141" s="515"/>
      <c r="H141" s="515"/>
      <c r="I141" s="516"/>
      <c r="J141" s="516"/>
      <c r="K141" s="564"/>
      <c r="L141" s="565"/>
      <c r="N141" s="228"/>
    </row>
    <row r="142" spans="2:14" s="109" customFormat="1" ht="14" thickBot="1">
      <c r="B142" s="519">
        <v>3.1</v>
      </c>
      <c r="C142" s="1173" t="s">
        <v>42</v>
      </c>
      <c r="D142" s="1173"/>
      <c r="E142" s="1173"/>
      <c r="F142" s="520"/>
      <c r="G142" s="521"/>
      <c r="H142" s="521"/>
      <c r="I142" s="522"/>
      <c r="J142" s="522"/>
      <c r="K142" s="566"/>
      <c r="L142" s="567"/>
      <c r="N142" s="228"/>
    </row>
    <row r="143" spans="2:14" s="109" customFormat="1" ht="15" customHeight="1" outlineLevel="1">
      <c r="B143" s="1162" t="s">
        <v>541</v>
      </c>
      <c r="C143" s="1163"/>
      <c r="D143" s="1248" t="s">
        <v>448</v>
      </c>
      <c r="E143" s="401" t="s">
        <v>324</v>
      </c>
      <c r="F143" s="469"/>
      <c r="G143" s="402">
        <v>1</v>
      </c>
      <c r="H143" s="402" t="s">
        <v>364</v>
      </c>
      <c r="I143" s="403">
        <f>+VLOOKUP($E143,GenRetL!$E$10:$I$194,5,FALSE)</f>
        <v>2500</v>
      </c>
      <c r="J143" s="403">
        <f t="shared" ref="J143:J144" si="14">+I143*G143</f>
        <v>2500</v>
      </c>
      <c r="K143" s="1217">
        <f>+SUM(J143:J144)</f>
        <v>9500</v>
      </c>
      <c r="L143" s="1260">
        <f>+SUM(K143:K146)</f>
        <v>21500</v>
      </c>
      <c r="N143" s="228"/>
    </row>
    <row r="144" spans="2:14" s="109" customFormat="1" ht="15" customHeight="1" outlineLevel="1">
      <c r="B144" s="1164"/>
      <c r="C144" s="1160"/>
      <c r="D144" s="1249"/>
      <c r="E144" s="370" t="s">
        <v>715</v>
      </c>
      <c r="F144" s="467"/>
      <c r="G144" s="375">
        <v>100</v>
      </c>
      <c r="H144" s="375" t="s">
        <v>360</v>
      </c>
      <c r="I144" s="376">
        <f>+VLOOKUP($E144,GenRetL!$E$10:$I$194,5,FALSE)</f>
        <v>70</v>
      </c>
      <c r="J144" s="376">
        <f t="shared" si="14"/>
        <v>7000</v>
      </c>
      <c r="K144" s="1218"/>
      <c r="L144" s="1261"/>
      <c r="N144" s="228"/>
    </row>
    <row r="145" spans="2:14" s="109" customFormat="1" ht="15" customHeight="1" outlineLevel="1">
      <c r="B145" s="1164"/>
      <c r="C145" s="1160"/>
      <c r="D145" s="373" t="s">
        <v>449</v>
      </c>
      <c r="E145" s="374" t="s">
        <v>88</v>
      </c>
      <c r="F145" s="467"/>
      <c r="G145" s="375"/>
      <c r="H145" s="375"/>
      <c r="I145" s="376"/>
      <c r="J145" s="376"/>
      <c r="K145" s="534"/>
      <c r="L145" s="1261"/>
      <c r="N145" s="228"/>
    </row>
    <row r="146" spans="2:14" s="109" customFormat="1" ht="15" customHeight="1" outlineLevel="1" thickBot="1">
      <c r="B146" s="1165"/>
      <c r="C146" s="1166"/>
      <c r="D146" s="395" t="s">
        <v>450</v>
      </c>
      <c r="E146" s="396" t="s">
        <v>723</v>
      </c>
      <c r="F146" s="468"/>
      <c r="G146" s="397">
        <v>100</v>
      </c>
      <c r="H146" s="397" t="s">
        <v>360</v>
      </c>
      <c r="I146" s="398">
        <f>+VLOOKUP($E146,GenRetL!$E$10:$I$194,5,FALSE)</f>
        <v>120</v>
      </c>
      <c r="J146" s="398">
        <f>+I146*G146</f>
        <v>12000</v>
      </c>
      <c r="K146" s="548">
        <f>+J146</f>
        <v>12000</v>
      </c>
      <c r="L146" s="1262"/>
      <c r="N146" s="228"/>
    </row>
    <row r="147" spans="2:14" s="109" customFormat="1" ht="14" thickBot="1">
      <c r="B147" s="519">
        <v>3.2</v>
      </c>
      <c r="C147" s="1173" t="s">
        <v>43</v>
      </c>
      <c r="D147" s="1173"/>
      <c r="E147" s="1173"/>
      <c r="F147" s="520"/>
      <c r="G147" s="521"/>
      <c r="H147" s="521"/>
      <c r="I147" s="522"/>
      <c r="J147" s="522"/>
      <c r="K147" s="566"/>
      <c r="L147" s="567"/>
      <c r="N147" s="228"/>
    </row>
    <row r="148" spans="2:14" s="109" customFormat="1" ht="15" customHeight="1" outlineLevel="1">
      <c r="B148" s="1162" t="s">
        <v>542</v>
      </c>
      <c r="C148" s="1163"/>
      <c r="D148" s="1246" t="s">
        <v>451</v>
      </c>
      <c r="E148" s="392" t="s">
        <v>88</v>
      </c>
      <c r="F148" s="465"/>
      <c r="G148" s="393"/>
      <c r="H148" s="393"/>
      <c r="I148" s="394"/>
      <c r="J148" s="394"/>
      <c r="K148" s="1219"/>
      <c r="L148" s="1260">
        <f>+SUM(K148:K152)</f>
        <v>0</v>
      </c>
      <c r="N148" s="228"/>
    </row>
    <row r="149" spans="2:14" s="109" customFormat="1" ht="15" customHeight="1" outlineLevel="1">
      <c r="B149" s="1164"/>
      <c r="C149" s="1160"/>
      <c r="D149" s="1247"/>
      <c r="E149" s="370" t="s">
        <v>88</v>
      </c>
      <c r="F149" s="466"/>
      <c r="G149" s="371"/>
      <c r="H149" s="371" t="s">
        <v>360</v>
      </c>
      <c r="I149" s="372">
        <f>+VLOOKUP($E149,GenRetL!$E$10:$I$194,5,FALSE)</f>
        <v>0</v>
      </c>
      <c r="J149" s="372">
        <f t="shared" ref="J149:J150" si="15">+I149*G149</f>
        <v>0</v>
      </c>
      <c r="K149" s="1220"/>
      <c r="L149" s="1261"/>
      <c r="N149" s="228"/>
    </row>
    <row r="150" spans="2:14" s="109" customFormat="1" ht="15" customHeight="1" outlineLevel="1">
      <c r="B150" s="1164"/>
      <c r="C150" s="1160"/>
      <c r="D150" s="1247"/>
      <c r="E150" s="370" t="s">
        <v>88</v>
      </c>
      <c r="F150" s="466"/>
      <c r="G150" s="371"/>
      <c r="H150" s="371" t="s">
        <v>364</v>
      </c>
      <c r="I150" s="372">
        <f>+VLOOKUP($E150,GenRetL!$E$10:$I$194,5,FALSE)</f>
        <v>0</v>
      </c>
      <c r="J150" s="372">
        <f t="shared" si="15"/>
        <v>0</v>
      </c>
      <c r="K150" s="1220"/>
      <c r="L150" s="1261"/>
      <c r="N150" s="228"/>
    </row>
    <row r="151" spans="2:14" s="109" customFormat="1" ht="15" customHeight="1" outlineLevel="1">
      <c r="B151" s="1164"/>
      <c r="C151" s="1160"/>
      <c r="D151" s="373" t="s">
        <v>452</v>
      </c>
      <c r="E151" s="370" t="s">
        <v>88</v>
      </c>
      <c r="F151" s="467"/>
      <c r="G151" s="375"/>
      <c r="H151" s="375"/>
      <c r="I151" s="376"/>
      <c r="J151" s="376"/>
      <c r="K151" s="534"/>
      <c r="L151" s="1261"/>
      <c r="N151" s="228"/>
    </row>
    <row r="152" spans="2:14" s="109" customFormat="1" ht="15" customHeight="1" outlineLevel="1" thickBot="1">
      <c r="B152" s="1165"/>
      <c r="C152" s="1166"/>
      <c r="D152" s="395" t="s">
        <v>453</v>
      </c>
      <c r="E152" s="439" t="s">
        <v>88</v>
      </c>
      <c r="F152" s="468"/>
      <c r="G152" s="397"/>
      <c r="H152" s="397" t="s">
        <v>360</v>
      </c>
      <c r="I152" s="398">
        <f>+VLOOKUP($E152,GenRetL!$E$10:$I$194,5,FALSE)</f>
        <v>0</v>
      </c>
      <c r="J152" s="398">
        <f>+I152*G152</f>
        <v>0</v>
      </c>
      <c r="K152" s="548"/>
      <c r="L152" s="1262"/>
      <c r="N152" s="228"/>
    </row>
    <row r="153" spans="2:14" s="109" customFormat="1" ht="15" customHeight="1" outlineLevel="1">
      <c r="B153" s="1162" t="s">
        <v>543</v>
      </c>
      <c r="C153" s="1163"/>
      <c r="D153" s="1248" t="s">
        <v>454</v>
      </c>
      <c r="E153" s="392" t="s">
        <v>88</v>
      </c>
      <c r="F153" s="469"/>
      <c r="G153" s="402"/>
      <c r="H153" s="402"/>
      <c r="I153" s="403"/>
      <c r="J153" s="403"/>
      <c r="K153" s="1217"/>
      <c r="L153" s="1260">
        <f>+SUM(K153:K156)</f>
        <v>0</v>
      </c>
      <c r="N153" s="228"/>
    </row>
    <row r="154" spans="2:14" s="109" customFormat="1" ht="15" customHeight="1" outlineLevel="1">
      <c r="B154" s="1164"/>
      <c r="C154" s="1160"/>
      <c r="D154" s="1249"/>
      <c r="E154" s="370" t="s">
        <v>88</v>
      </c>
      <c r="F154" s="467"/>
      <c r="G154" s="375"/>
      <c r="H154" s="375" t="s">
        <v>364</v>
      </c>
      <c r="I154" s="376">
        <f>+VLOOKUP($E154,GenRetL!$E$10:$I$194,5,FALSE)</f>
        <v>0</v>
      </c>
      <c r="J154" s="376">
        <f t="shared" ref="J154:J156" si="16">+I154*G154</f>
        <v>0</v>
      </c>
      <c r="K154" s="1218"/>
      <c r="L154" s="1261"/>
      <c r="N154" s="228"/>
    </row>
    <row r="155" spans="2:14" s="109" customFormat="1" ht="15" customHeight="1" outlineLevel="1">
      <c r="B155" s="1164"/>
      <c r="C155" s="1160"/>
      <c r="D155" s="373" t="s">
        <v>455</v>
      </c>
      <c r="E155" s="370" t="s">
        <v>88</v>
      </c>
      <c r="F155" s="467"/>
      <c r="G155" s="375"/>
      <c r="H155" s="375" t="s">
        <v>364</v>
      </c>
      <c r="I155" s="376">
        <f>+VLOOKUP($E155,GenRetL!$E$10:$I$194,5,FALSE)</f>
        <v>0</v>
      </c>
      <c r="J155" s="376">
        <f t="shared" si="16"/>
        <v>0</v>
      </c>
      <c r="K155" s="532"/>
      <c r="L155" s="1261"/>
      <c r="N155" s="228"/>
    </row>
    <row r="156" spans="2:14" s="109" customFormat="1" ht="15" customHeight="1" outlineLevel="1" thickBot="1">
      <c r="B156" s="1165"/>
      <c r="C156" s="1166"/>
      <c r="D156" s="395" t="s">
        <v>456</v>
      </c>
      <c r="E156" s="439" t="s">
        <v>88</v>
      </c>
      <c r="F156" s="468"/>
      <c r="G156" s="397"/>
      <c r="H156" s="397" t="s">
        <v>360</v>
      </c>
      <c r="I156" s="398">
        <f>+VLOOKUP($E156,GenRetL!$E$10:$I$194,5,FALSE)</f>
        <v>0</v>
      </c>
      <c r="J156" s="398">
        <f t="shared" si="16"/>
        <v>0</v>
      </c>
      <c r="K156" s="548"/>
      <c r="L156" s="1262"/>
      <c r="N156" s="228"/>
    </row>
    <row r="157" spans="2:14" s="109" customFormat="1" ht="15" customHeight="1" outlineLevel="1">
      <c r="B157" s="1162" t="s">
        <v>544</v>
      </c>
      <c r="C157" s="1163"/>
      <c r="D157" s="400" t="s">
        <v>457</v>
      </c>
      <c r="E157" s="392" t="s">
        <v>88</v>
      </c>
      <c r="F157" s="469"/>
      <c r="G157" s="402"/>
      <c r="H157" s="402"/>
      <c r="I157" s="403"/>
      <c r="J157" s="403"/>
      <c r="K157" s="557"/>
      <c r="L157" s="1260">
        <f>+SUM(K157:K159)</f>
        <v>2000</v>
      </c>
      <c r="N157" s="228"/>
    </row>
    <row r="158" spans="2:14" s="109" customFormat="1" ht="15" customHeight="1" outlineLevel="1">
      <c r="B158" s="1164"/>
      <c r="C158" s="1160"/>
      <c r="D158" s="373" t="s">
        <v>458</v>
      </c>
      <c r="E158" s="370" t="s">
        <v>88</v>
      </c>
      <c r="F158" s="467"/>
      <c r="G158" s="375"/>
      <c r="H158" s="375"/>
      <c r="I158" s="376"/>
      <c r="J158" s="376"/>
      <c r="K158" s="534"/>
      <c r="L158" s="1261"/>
      <c r="N158" s="228"/>
    </row>
    <row r="159" spans="2:14" s="109" customFormat="1" ht="15" customHeight="1" outlineLevel="1" thickBot="1">
      <c r="B159" s="1165"/>
      <c r="C159" s="1166"/>
      <c r="D159" s="395" t="s">
        <v>459</v>
      </c>
      <c r="E159" s="439" t="s">
        <v>326</v>
      </c>
      <c r="F159" s="477"/>
      <c r="G159" s="440">
        <v>1</v>
      </c>
      <c r="H159" s="440" t="s">
        <v>358</v>
      </c>
      <c r="I159" s="398">
        <f>+VLOOKUP($E159,GenRetL!$E$10:$I$194,5,FALSE)</f>
        <v>2000</v>
      </c>
      <c r="J159" s="408">
        <f>+I159*G159</f>
        <v>2000</v>
      </c>
      <c r="K159" s="550">
        <f>+J159</f>
        <v>2000</v>
      </c>
      <c r="L159" s="1262"/>
      <c r="N159" s="228"/>
    </row>
    <row r="160" spans="2:14" s="109" customFormat="1" ht="14" thickBot="1">
      <c r="B160" s="568">
        <v>3.3</v>
      </c>
      <c r="C160" s="1174" t="s">
        <v>44</v>
      </c>
      <c r="D160" s="1174"/>
      <c r="E160" s="1174"/>
      <c r="F160" s="569"/>
      <c r="G160" s="570"/>
      <c r="H160" s="570"/>
      <c r="I160" s="571"/>
      <c r="J160" s="571"/>
      <c r="K160" s="572"/>
      <c r="L160" s="573"/>
      <c r="N160" s="228"/>
    </row>
    <row r="161" spans="2:14" s="109" customFormat="1" ht="15" customHeight="1" outlineLevel="1">
      <c r="B161" s="1162" t="s">
        <v>545</v>
      </c>
      <c r="C161" s="1163"/>
      <c r="D161" s="1246" t="s">
        <v>460</v>
      </c>
      <c r="E161" s="401" t="s">
        <v>327</v>
      </c>
      <c r="F161" s="469"/>
      <c r="G161" s="402"/>
      <c r="H161" s="402"/>
      <c r="I161" s="403"/>
      <c r="J161" s="403"/>
      <c r="K161" s="1219"/>
      <c r="L161" s="1260">
        <f>+SUM(K161:K165)</f>
        <v>0</v>
      </c>
      <c r="N161" s="228"/>
    </row>
    <row r="162" spans="2:14" s="109" customFormat="1" ht="15" customHeight="1" outlineLevel="1">
      <c r="B162" s="1164"/>
      <c r="C162" s="1160"/>
      <c r="D162" s="1247"/>
      <c r="E162" s="374" t="s">
        <v>328</v>
      </c>
      <c r="F162" s="467"/>
      <c r="G162" s="375"/>
      <c r="H162" s="375"/>
      <c r="I162" s="376"/>
      <c r="J162" s="376"/>
      <c r="K162" s="1220"/>
      <c r="L162" s="1261"/>
      <c r="N162" s="228"/>
    </row>
    <row r="163" spans="2:14" s="109" customFormat="1" ht="15" customHeight="1" outlineLevel="1">
      <c r="B163" s="1164"/>
      <c r="C163" s="1160"/>
      <c r="D163" s="1247"/>
      <c r="E163" s="374" t="s">
        <v>329</v>
      </c>
      <c r="F163" s="467"/>
      <c r="G163" s="375"/>
      <c r="H163" s="375"/>
      <c r="I163" s="376"/>
      <c r="J163" s="376"/>
      <c r="K163" s="1220"/>
      <c r="L163" s="1261"/>
      <c r="N163" s="228"/>
    </row>
    <row r="164" spans="2:14" s="109" customFormat="1" ht="15" customHeight="1" outlineLevel="1">
      <c r="B164" s="1164"/>
      <c r="C164" s="1160"/>
      <c r="D164" s="373" t="s">
        <v>461</v>
      </c>
      <c r="E164" s="374" t="s">
        <v>88</v>
      </c>
      <c r="F164" s="467"/>
      <c r="G164" s="375"/>
      <c r="H164" s="375"/>
      <c r="I164" s="376"/>
      <c r="J164" s="376"/>
      <c r="K164" s="534"/>
      <c r="L164" s="1261"/>
      <c r="N164" s="228"/>
    </row>
    <row r="165" spans="2:14" s="109" customFormat="1" ht="15" customHeight="1" outlineLevel="1" thickBot="1">
      <c r="B165" s="1165"/>
      <c r="C165" s="1166"/>
      <c r="D165" s="395" t="s">
        <v>462</v>
      </c>
      <c r="E165" s="396" t="s">
        <v>202</v>
      </c>
      <c r="F165" s="468"/>
      <c r="G165" s="397"/>
      <c r="H165" s="397"/>
      <c r="I165" s="398"/>
      <c r="J165" s="398"/>
      <c r="K165" s="550"/>
      <c r="L165" s="1262"/>
      <c r="N165" s="228"/>
    </row>
    <row r="166" spans="2:14" s="109" customFormat="1" ht="15" customHeight="1" outlineLevel="1">
      <c r="B166" s="1162" t="s">
        <v>546</v>
      </c>
      <c r="C166" s="1163"/>
      <c r="D166" s="1246" t="s">
        <v>463</v>
      </c>
      <c r="E166" s="401" t="s">
        <v>718</v>
      </c>
      <c r="F166" s="469"/>
      <c r="G166" s="402">
        <v>100</v>
      </c>
      <c r="H166" s="402" t="s">
        <v>360</v>
      </c>
      <c r="I166" s="403">
        <f>+VLOOKUP($E166,GenRetL!$E$10:$I$194,5,FALSE)</f>
        <v>10</v>
      </c>
      <c r="J166" s="403">
        <f t="shared" ref="J166:J172" si="17">+I166*G166</f>
        <v>1000</v>
      </c>
      <c r="K166" s="1217">
        <f>+SUM(J166:J167)</f>
        <v>1260</v>
      </c>
      <c r="L166" s="1260">
        <f>+SUM(K166:K169)</f>
        <v>1520</v>
      </c>
      <c r="N166" s="228"/>
    </row>
    <row r="167" spans="2:14" s="109" customFormat="1" ht="15" customHeight="1" outlineLevel="1">
      <c r="B167" s="1164"/>
      <c r="C167" s="1160"/>
      <c r="D167" s="1247"/>
      <c r="E167" s="374" t="s">
        <v>330</v>
      </c>
      <c r="F167" s="467"/>
      <c r="G167" s="375">
        <v>2</v>
      </c>
      <c r="H167" s="375" t="s">
        <v>364</v>
      </c>
      <c r="I167" s="376">
        <f>+VLOOKUP($E167,GenRetL!$E$10:$I$194,5,FALSE)</f>
        <v>130</v>
      </c>
      <c r="J167" s="376">
        <f t="shared" si="17"/>
        <v>260</v>
      </c>
      <c r="K167" s="1218"/>
      <c r="L167" s="1261"/>
      <c r="N167" s="228"/>
    </row>
    <row r="168" spans="2:14" s="109" customFormat="1" ht="15" customHeight="1" outlineLevel="1">
      <c r="B168" s="1164"/>
      <c r="C168" s="1160"/>
      <c r="D168" s="373" t="s">
        <v>464</v>
      </c>
      <c r="E168" s="374" t="s">
        <v>88</v>
      </c>
      <c r="F168" s="467"/>
      <c r="G168" s="375"/>
      <c r="H168" s="375"/>
      <c r="I168" s="376"/>
      <c r="J168" s="376"/>
      <c r="K168" s="534"/>
      <c r="L168" s="1261"/>
      <c r="N168" s="228"/>
    </row>
    <row r="169" spans="2:14" s="109" customFormat="1" ht="15" customHeight="1" outlineLevel="1" thickBot="1">
      <c r="B169" s="1165"/>
      <c r="C169" s="1166"/>
      <c r="D169" s="395" t="s">
        <v>465</v>
      </c>
      <c r="E169" s="396" t="s">
        <v>330</v>
      </c>
      <c r="F169" s="468"/>
      <c r="G169" s="397">
        <v>2</v>
      </c>
      <c r="H169" s="397" t="s">
        <v>364</v>
      </c>
      <c r="I169" s="398">
        <f>+VLOOKUP($E169,GenRetL!$E$10:$I$194,5,FALSE)</f>
        <v>130</v>
      </c>
      <c r="J169" s="398">
        <f t="shared" si="17"/>
        <v>260</v>
      </c>
      <c r="K169" s="548">
        <f>+J169</f>
        <v>260</v>
      </c>
      <c r="L169" s="1262"/>
      <c r="N169" s="228"/>
    </row>
    <row r="170" spans="2:14" s="109" customFormat="1" ht="15" customHeight="1" outlineLevel="1">
      <c r="B170" s="1162" t="s">
        <v>547</v>
      </c>
      <c r="C170" s="1163"/>
      <c r="D170" s="1248" t="s">
        <v>466</v>
      </c>
      <c r="E170" s="401" t="s">
        <v>331</v>
      </c>
      <c r="F170" s="469"/>
      <c r="G170" s="402"/>
      <c r="H170" s="402">
        <v>0</v>
      </c>
      <c r="I170" s="403">
        <f>+VLOOKUP($E170,GenRetL!$E$10:$I$194,5,FALSE)</f>
        <v>0</v>
      </c>
      <c r="J170" s="403">
        <f t="shared" si="17"/>
        <v>0</v>
      </c>
      <c r="K170" s="1217">
        <f>+SUM(J170:J172)</f>
        <v>1260</v>
      </c>
      <c r="L170" s="1260">
        <f>+SUM(K170:K174)</f>
        <v>1520</v>
      </c>
      <c r="N170" s="228"/>
    </row>
    <row r="171" spans="2:14" s="109" customFormat="1" ht="15" customHeight="1" outlineLevel="1">
      <c r="B171" s="1164"/>
      <c r="C171" s="1160"/>
      <c r="D171" s="1249"/>
      <c r="E171" s="374" t="s">
        <v>718</v>
      </c>
      <c r="F171" s="467"/>
      <c r="G171" s="375">
        <v>100</v>
      </c>
      <c r="H171" s="375" t="s">
        <v>360</v>
      </c>
      <c r="I171" s="376">
        <f>+VLOOKUP($E171,GenRetL!$E$10:$I$194,5,FALSE)</f>
        <v>10</v>
      </c>
      <c r="J171" s="376">
        <f t="shared" si="17"/>
        <v>1000</v>
      </c>
      <c r="K171" s="1218"/>
      <c r="L171" s="1261"/>
      <c r="N171" s="228"/>
    </row>
    <row r="172" spans="2:14" s="109" customFormat="1" ht="15" customHeight="1" outlineLevel="1">
      <c r="B172" s="1164"/>
      <c r="C172" s="1160"/>
      <c r="D172" s="1249"/>
      <c r="E172" s="374" t="s">
        <v>330</v>
      </c>
      <c r="F172" s="467"/>
      <c r="G172" s="375">
        <v>2</v>
      </c>
      <c r="H172" s="375" t="s">
        <v>364</v>
      </c>
      <c r="I172" s="376">
        <f>+VLOOKUP($E172,GenRetL!$E$10:$I$194,5,FALSE)</f>
        <v>130</v>
      </c>
      <c r="J172" s="376">
        <f t="shared" si="17"/>
        <v>260</v>
      </c>
      <c r="K172" s="1218"/>
      <c r="L172" s="1261"/>
      <c r="N172" s="228"/>
    </row>
    <row r="173" spans="2:14" s="109" customFormat="1" ht="15" customHeight="1" outlineLevel="1">
      <c r="B173" s="1164"/>
      <c r="C173" s="1160"/>
      <c r="D173" s="373" t="s">
        <v>467</v>
      </c>
      <c r="E173" s="374" t="s">
        <v>88</v>
      </c>
      <c r="F173" s="467"/>
      <c r="G173" s="375"/>
      <c r="H173" s="375"/>
      <c r="I173" s="376"/>
      <c r="J173" s="376"/>
      <c r="K173" s="534"/>
      <c r="L173" s="1261"/>
      <c r="N173" s="228"/>
    </row>
    <row r="174" spans="2:14" s="109" customFormat="1" ht="15" customHeight="1" outlineLevel="1" thickBot="1">
      <c r="B174" s="1165"/>
      <c r="C174" s="1166"/>
      <c r="D174" s="395" t="s">
        <v>468</v>
      </c>
      <c r="E174" s="396" t="s">
        <v>330</v>
      </c>
      <c r="F174" s="468"/>
      <c r="G174" s="397">
        <v>2</v>
      </c>
      <c r="H174" s="397" t="s">
        <v>364</v>
      </c>
      <c r="I174" s="398">
        <f>+VLOOKUP($E174,GenRetL!$E$10:$I$194,5,FALSE)</f>
        <v>130</v>
      </c>
      <c r="J174" s="398">
        <f>+I174*G174</f>
        <v>260</v>
      </c>
      <c r="K174" s="548">
        <f>+J174</f>
        <v>260</v>
      </c>
      <c r="L174" s="1262"/>
      <c r="N174" s="228"/>
    </row>
    <row r="175" spans="2:14" s="109" customFormat="1" ht="14" thickBot="1">
      <c r="B175" s="519">
        <v>3.4</v>
      </c>
      <c r="C175" s="1173" t="s">
        <v>45</v>
      </c>
      <c r="D175" s="1173"/>
      <c r="E175" s="1173"/>
      <c r="F175" s="520"/>
      <c r="G175" s="521"/>
      <c r="H175" s="521"/>
      <c r="I175" s="522"/>
      <c r="J175" s="522"/>
      <c r="K175" s="566"/>
      <c r="L175" s="567"/>
      <c r="N175" s="228"/>
    </row>
    <row r="176" spans="2:14" s="109" customFormat="1" ht="15" customHeight="1" outlineLevel="1">
      <c r="B176" s="1162" t="s">
        <v>548</v>
      </c>
      <c r="C176" s="1163"/>
      <c r="D176" s="400" t="s">
        <v>469</v>
      </c>
      <c r="E176" s="401" t="s">
        <v>88</v>
      </c>
      <c r="F176" s="469"/>
      <c r="G176" s="402"/>
      <c r="H176" s="402"/>
      <c r="I176" s="403"/>
      <c r="J176" s="403"/>
      <c r="K176" s="557"/>
      <c r="L176" s="1260">
        <f>+SUM(K176:K178)</f>
        <v>0</v>
      </c>
      <c r="N176" s="228"/>
    </row>
    <row r="177" spans="2:14" s="109" customFormat="1" ht="15" customHeight="1" outlineLevel="1">
      <c r="B177" s="1164"/>
      <c r="C177" s="1160"/>
      <c r="D177" s="373" t="s">
        <v>470</v>
      </c>
      <c r="E177" s="374" t="s">
        <v>88</v>
      </c>
      <c r="F177" s="467"/>
      <c r="G177" s="375"/>
      <c r="H177" s="375"/>
      <c r="I177" s="376"/>
      <c r="J177" s="376"/>
      <c r="K177" s="534"/>
      <c r="L177" s="1261"/>
      <c r="N177" s="228"/>
    </row>
    <row r="178" spans="2:14" s="109" customFormat="1" ht="15" customHeight="1" outlineLevel="1" thickBot="1">
      <c r="B178" s="1165"/>
      <c r="C178" s="1166"/>
      <c r="D178" s="395" t="s">
        <v>471</v>
      </c>
      <c r="E178" s="396" t="s">
        <v>88</v>
      </c>
      <c r="F178" s="468"/>
      <c r="G178" s="397"/>
      <c r="H178" s="397"/>
      <c r="I178" s="398"/>
      <c r="J178" s="398"/>
      <c r="K178" s="551"/>
      <c r="L178" s="1262"/>
      <c r="N178" s="228"/>
    </row>
    <row r="179" spans="2:14" s="109" customFormat="1" ht="15" customHeight="1" outlineLevel="1">
      <c r="B179" s="1162" t="s">
        <v>549</v>
      </c>
      <c r="C179" s="1163"/>
      <c r="D179" s="400" t="s">
        <v>472</v>
      </c>
      <c r="E179" s="401" t="s">
        <v>88</v>
      </c>
      <c r="F179" s="469"/>
      <c r="G179" s="402"/>
      <c r="H179" s="402"/>
      <c r="I179" s="403"/>
      <c r="J179" s="403"/>
      <c r="K179" s="557"/>
      <c r="L179" s="1260">
        <f>+SUM(K179:K181)</f>
        <v>0</v>
      </c>
      <c r="N179" s="228"/>
    </row>
    <row r="180" spans="2:14" s="109" customFormat="1" ht="15" customHeight="1" outlineLevel="1">
      <c r="B180" s="1164"/>
      <c r="C180" s="1160"/>
      <c r="D180" s="373" t="s">
        <v>473</v>
      </c>
      <c r="E180" s="374" t="s">
        <v>88</v>
      </c>
      <c r="F180" s="467"/>
      <c r="G180" s="375"/>
      <c r="H180" s="375"/>
      <c r="I180" s="376"/>
      <c r="J180" s="376"/>
      <c r="K180" s="534"/>
      <c r="L180" s="1261"/>
      <c r="N180" s="228"/>
    </row>
    <row r="181" spans="2:14" s="109" customFormat="1" ht="15" customHeight="1" outlineLevel="1" thickBot="1">
      <c r="B181" s="1165"/>
      <c r="C181" s="1166"/>
      <c r="D181" s="395" t="s">
        <v>474</v>
      </c>
      <c r="E181" s="396" t="s">
        <v>88</v>
      </c>
      <c r="F181" s="468"/>
      <c r="G181" s="397"/>
      <c r="H181" s="397"/>
      <c r="I181" s="398"/>
      <c r="J181" s="398"/>
      <c r="K181" s="551"/>
      <c r="L181" s="1262"/>
      <c r="N181" s="228"/>
    </row>
    <row r="182" spans="2:14" s="109" customFormat="1" ht="14" thickBot="1">
      <c r="B182" s="519">
        <v>3.5</v>
      </c>
      <c r="C182" s="1173" t="s">
        <v>46</v>
      </c>
      <c r="D182" s="1173"/>
      <c r="E182" s="1173"/>
      <c r="F182" s="520"/>
      <c r="G182" s="521"/>
      <c r="H182" s="521"/>
      <c r="I182" s="522"/>
      <c r="J182" s="522"/>
      <c r="K182" s="566"/>
      <c r="L182" s="567"/>
      <c r="N182" s="228"/>
    </row>
    <row r="183" spans="2:14" s="109" customFormat="1" ht="15" customHeight="1" outlineLevel="1">
      <c r="B183" s="1162" t="s">
        <v>550</v>
      </c>
      <c r="C183" s="1163"/>
      <c r="D183" s="400" t="s">
        <v>475</v>
      </c>
      <c r="E183" s="401" t="s">
        <v>88</v>
      </c>
      <c r="F183" s="469"/>
      <c r="G183" s="402"/>
      <c r="H183" s="402"/>
      <c r="I183" s="403"/>
      <c r="J183" s="403"/>
      <c r="K183" s="557"/>
      <c r="L183" s="1260">
        <f>+SUM(K183:K185)</f>
        <v>0</v>
      </c>
      <c r="N183" s="228"/>
    </row>
    <row r="184" spans="2:14" s="109" customFormat="1" ht="15" customHeight="1" outlineLevel="1">
      <c r="B184" s="1164"/>
      <c r="C184" s="1160"/>
      <c r="D184" s="373" t="s">
        <v>476</v>
      </c>
      <c r="E184" s="374" t="s">
        <v>88</v>
      </c>
      <c r="F184" s="467"/>
      <c r="G184" s="375"/>
      <c r="H184" s="375"/>
      <c r="I184" s="376"/>
      <c r="J184" s="376"/>
      <c r="K184" s="534"/>
      <c r="L184" s="1261"/>
      <c r="N184" s="228"/>
    </row>
    <row r="185" spans="2:14" s="109" customFormat="1" ht="15" customHeight="1" outlineLevel="1" thickBot="1">
      <c r="B185" s="1165"/>
      <c r="C185" s="1166"/>
      <c r="D185" s="395" t="s">
        <v>477</v>
      </c>
      <c r="E185" s="396" t="s">
        <v>88</v>
      </c>
      <c r="F185" s="468"/>
      <c r="G185" s="397"/>
      <c r="H185" s="397"/>
      <c r="I185" s="398"/>
      <c r="J185" s="398"/>
      <c r="K185" s="551"/>
      <c r="L185" s="1262"/>
      <c r="N185" s="228"/>
    </row>
    <row r="186" spans="2:14" s="109" customFormat="1" ht="15" customHeight="1" outlineLevel="1">
      <c r="B186" s="1162" t="s">
        <v>551</v>
      </c>
      <c r="C186" s="1163"/>
      <c r="D186" s="400" t="s">
        <v>478</v>
      </c>
      <c r="E186" s="401" t="s">
        <v>88</v>
      </c>
      <c r="F186" s="469"/>
      <c r="G186" s="402"/>
      <c r="H186" s="402"/>
      <c r="I186" s="403"/>
      <c r="J186" s="403"/>
      <c r="K186" s="557"/>
      <c r="L186" s="1260">
        <f>+SUM(K186:K188)</f>
        <v>0</v>
      </c>
      <c r="N186" s="228"/>
    </row>
    <row r="187" spans="2:14" s="109" customFormat="1" ht="15" customHeight="1" outlineLevel="1">
      <c r="B187" s="1164"/>
      <c r="C187" s="1160"/>
      <c r="D187" s="373" t="s">
        <v>479</v>
      </c>
      <c r="E187" s="374" t="s">
        <v>88</v>
      </c>
      <c r="F187" s="467"/>
      <c r="G187" s="375"/>
      <c r="H187" s="375"/>
      <c r="I187" s="376"/>
      <c r="J187" s="376"/>
      <c r="K187" s="534"/>
      <c r="L187" s="1261"/>
      <c r="N187" s="228"/>
    </row>
    <row r="188" spans="2:14" s="109" customFormat="1" ht="15" customHeight="1" outlineLevel="1" thickBot="1">
      <c r="B188" s="1165"/>
      <c r="C188" s="1166"/>
      <c r="D188" s="395" t="s">
        <v>480</v>
      </c>
      <c r="E188" s="396" t="s">
        <v>88</v>
      </c>
      <c r="F188" s="468"/>
      <c r="G188" s="397"/>
      <c r="H188" s="397"/>
      <c r="I188" s="398"/>
      <c r="J188" s="398"/>
      <c r="K188" s="551"/>
      <c r="L188" s="1262"/>
      <c r="N188" s="228"/>
    </row>
    <row r="189" spans="2:14" s="109" customFormat="1" ht="14" thickBot="1">
      <c r="B189" s="1215" t="s">
        <v>54</v>
      </c>
      <c r="C189" s="1216"/>
      <c r="D189" s="1216"/>
      <c r="E189" s="1216"/>
      <c r="F189" s="520"/>
      <c r="G189" s="521"/>
      <c r="H189" s="521"/>
      <c r="I189" s="522"/>
      <c r="J189" s="522"/>
      <c r="K189" s="566"/>
      <c r="L189" s="567"/>
      <c r="N189" s="228"/>
    </row>
    <row r="190" spans="2:14" s="109" customFormat="1" ht="14" thickBot="1">
      <c r="B190" s="519">
        <v>3.6</v>
      </c>
      <c r="C190" s="1173" t="s">
        <v>47</v>
      </c>
      <c r="D190" s="1173"/>
      <c r="E190" s="1173"/>
      <c r="F190" s="520"/>
      <c r="G190" s="521"/>
      <c r="H190" s="521"/>
      <c r="I190" s="522"/>
      <c r="J190" s="522"/>
      <c r="K190" s="566"/>
      <c r="L190" s="567"/>
      <c r="N190" s="228"/>
    </row>
    <row r="191" spans="2:14" s="109" customFormat="1" ht="15" customHeight="1" outlineLevel="1">
      <c r="B191" s="1162" t="s">
        <v>552</v>
      </c>
      <c r="C191" s="1163"/>
      <c r="D191" s="1246" t="s">
        <v>481</v>
      </c>
      <c r="E191" s="401" t="s">
        <v>722</v>
      </c>
      <c r="F191" s="465"/>
      <c r="G191" s="393">
        <v>2000</v>
      </c>
      <c r="H191" s="393" t="s">
        <v>95</v>
      </c>
      <c r="I191" s="403">
        <f>+VLOOKUP($E191,GenRetL!$E$10:$I$194,5,FALSE)</f>
        <v>10</v>
      </c>
      <c r="J191" s="394">
        <f t="shared" ref="J191:J192" si="18">+I191*G191</f>
        <v>20000</v>
      </c>
      <c r="K191" s="1219">
        <f>+SUM(J191:J192)</f>
        <v>22600</v>
      </c>
      <c r="L191" s="1260">
        <f>+SUM(K191:K194)</f>
        <v>22600</v>
      </c>
      <c r="N191" s="228"/>
    </row>
    <row r="192" spans="2:14" s="109" customFormat="1" ht="15" customHeight="1" outlineLevel="1">
      <c r="B192" s="1164"/>
      <c r="C192" s="1160"/>
      <c r="D192" s="1247"/>
      <c r="E192" s="374" t="s">
        <v>335</v>
      </c>
      <c r="F192" s="466"/>
      <c r="G192" s="371">
        <v>1</v>
      </c>
      <c r="H192" s="371" t="s">
        <v>364</v>
      </c>
      <c r="I192" s="376">
        <f>+VLOOKUP($E192,GenRetL!$E$10:$I$194,5,FALSE)</f>
        <v>2600</v>
      </c>
      <c r="J192" s="372">
        <f t="shared" si="18"/>
        <v>2600</v>
      </c>
      <c r="K192" s="1220"/>
      <c r="L192" s="1261"/>
      <c r="N192" s="228"/>
    </row>
    <row r="193" spans="2:14" s="109" customFormat="1" ht="15" customHeight="1" outlineLevel="1">
      <c r="B193" s="1164"/>
      <c r="C193" s="1160"/>
      <c r="D193" s="373" t="s">
        <v>482</v>
      </c>
      <c r="E193" s="374" t="s">
        <v>88</v>
      </c>
      <c r="F193" s="467"/>
      <c r="G193" s="375"/>
      <c r="H193" s="375"/>
      <c r="I193" s="376"/>
      <c r="J193" s="376"/>
      <c r="K193" s="1220"/>
      <c r="L193" s="1261"/>
      <c r="N193" s="228"/>
    </row>
    <row r="194" spans="2:14" s="109" customFormat="1" ht="15" customHeight="1" outlineLevel="1" thickBot="1">
      <c r="B194" s="1165"/>
      <c r="C194" s="1166"/>
      <c r="D194" s="395" t="s">
        <v>483</v>
      </c>
      <c r="E194" s="396" t="s">
        <v>88</v>
      </c>
      <c r="F194" s="468"/>
      <c r="G194" s="397"/>
      <c r="H194" s="397"/>
      <c r="I194" s="398"/>
      <c r="J194" s="398"/>
      <c r="K194" s="1232"/>
      <c r="L194" s="1262"/>
      <c r="N194" s="228"/>
    </row>
    <row r="195" spans="2:14" s="109" customFormat="1" ht="14" thickBot="1">
      <c r="B195" s="519">
        <v>3.7</v>
      </c>
      <c r="C195" s="1173" t="s">
        <v>48</v>
      </c>
      <c r="D195" s="1173"/>
      <c r="E195" s="1173"/>
      <c r="F195" s="520"/>
      <c r="G195" s="521"/>
      <c r="H195" s="521"/>
      <c r="I195" s="522"/>
      <c r="J195" s="522"/>
      <c r="K195" s="566"/>
      <c r="L195" s="567"/>
      <c r="N195" s="228"/>
    </row>
    <row r="196" spans="2:14">
      <c r="B196" s="109"/>
      <c r="C196" s="229"/>
      <c r="F196" s="462"/>
      <c r="L196" s="240"/>
    </row>
    <row r="197" spans="2:14">
      <c r="B197" s="109"/>
      <c r="C197" s="229"/>
      <c r="F197" s="462"/>
      <c r="L197" s="240"/>
    </row>
    <row r="198" spans="2:14">
      <c r="B198" s="109"/>
      <c r="C198" s="229"/>
      <c r="F198" s="462"/>
      <c r="L198" s="240"/>
    </row>
    <row r="199" spans="2:14">
      <c r="B199" s="109"/>
      <c r="C199" s="229"/>
      <c r="F199" s="462"/>
      <c r="L199" s="240"/>
    </row>
    <row r="200" spans="2:14">
      <c r="F200" s="462"/>
    </row>
    <row r="201" spans="2:14">
      <c r="F201" s="462"/>
    </row>
    <row r="202" spans="2:14">
      <c r="F202" s="462"/>
    </row>
    <row r="203" spans="2:14">
      <c r="F203" s="462"/>
    </row>
    <row r="204" spans="2:14">
      <c r="F204" s="462"/>
    </row>
    <row r="205" spans="2:14">
      <c r="F205" s="462"/>
    </row>
    <row r="206" spans="2:14">
      <c r="F206" s="462"/>
    </row>
    <row r="207" spans="2:14">
      <c r="F207" s="462"/>
    </row>
    <row r="208" spans="2:14">
      <c r="F208" s="462"/>
    </row>
    <row r="209" spans="6:6">
      <c r="F209" s="462"/>
    </row>
    <row r="210" spans="6:6">
      <c r="F210" s="462"/>
    </row>
    <row r="211" spans="6:6">
      <c r="F211" s="462"/>
    </row>
    <row r="212" spans="6:6">
      <c r="F212" s="462"/>
    </row>
    <row r="213" spans="6:6">
      <c r="F213" s="462"/>
    </row>
    <row r="214" spans="6:6">
      <c r="F214" s="462"/>
    </row>
    <row r="215" spans="6:6">
      <c r="F215" s="462"/>
    </row>
    <row r="216" spans="6:6">
      <c r="F216" s="462"/>
    </row>
    <row r="217" spans="6:6">
      <c r="F217" s="462"/>
    </row>
    <row r="218" spans="6:6">
      <c r="F218" s="462"/>
    </row>
    <row r="219" spans="6:6">
      <c r="F219" s="462"/>
    </row>
    <row r="220" spans="6:6">
      <c r="F220" s="462"/>
    </row>
    <row r="221" spans="6:6">
      <c r="F221" s="462"/>
    </row>
    <row r="222" spans="6:6">
      <c r="F222" s="462"/>
    </row>
    <row r="223" spans="6:6">
      <c r="F223" s="462"/>
    </row>
    <row r="224" spans="6:6">
      <c r="F224" s="462"/>
    </row>
    <row r="225" spans="6:6">
      <c r="F225" s="462"/>
    </row>
    <row r="226" spans="6:6">
      <c r="F226" s="462"/>
    </row>
    <row r="227" spans="6:6">
      <c r="F227" s="462"/>
    </row>
    <row r="228" spans="6:6">
      <c r="F228" s="462"/>
    </row>
    <row r="229" spans="6:6">
      <c r="F229" s="462"/>
    </row>
    <row r="230" spans="6:6">
      <c r="F230" s="462"/>
    </row>
    <row r="231" spans="6:6">
      <c r="F231" s="462"/>
    </row>
    <row r="232" spans="6:6">
      <c r="F232" s="462"/>
    </row>
    <row r="233" spans="6:6">
      <c r="F233" s="462"/>
    </row>
    <row r="234" spans="6:6">
      <c r="F234" s="462"/>
    </row>
    <row r="235" spans="6:6">
      <c r="F235" s="462"/>
    </row>
    <row r="236" spans="6:6">
      <c r="F236" s="462"/>
    </row>
  </sheetData>
  <mergeCells count="153">
    <mergeCell ref="B186:C188"/>
    <mergeCell ref="B191:C194"/>
    <mergeCell ref="D191:D192"/>
    <mergeCell ref="K161:K163"/>
    <mergeCell ref="B166:C169"/>
    <mergeCell ref="D166:D167"/>
    <mergeCell ref="K166:K167"/>
    <mergeCell ref="B170:C174"/>
    <mergeCell ref="D170:D172"/>
    <mergeCell ref="K170:K172"/>
    <mergeCell ref="K191:K194"/>
    <mergeCell ref="K148:K150"/>
    <mergeCell ref="B153:C156"/>
    <mergeCell ref="D153:D154"/>
    <mergeCell ref="K153:K154"/>
    <mergeCell ref="B157:C159"/>
    <mergeCell ref="B136:C140"/>
    <mergeCell ref="D138:D140"/>
    <mergeCell ref="K138:K140"/>
    <mergeCell ref="B143:C146"/>
    <mergeCell ref="D143:D144"/>
    <mergeCell ref="K143:K144"/>
    <mergeCell ref="B125:C129"/>
    <mergeCell ref="D125:D127"/>
    <mergeCell ref="K125:K127"/>
    <mergeCell ref="B131:C135"/>
    <mergeCell ref="D133:D135"/>
    <mergeCell ref="K133:K135"/>
    <mergeCell ref="B117:C120"/>
    <mergeCell ref="D119:D120"/>
    <mergeCell ref="K119:K120"/>
    <mergeCell ref="B121:C124"/>
    <mergeCell ref="D123:D124"/>
    <mergeCell ref="K123:K124"/>
    <mergeCell ref="B106:C110"/>
    <mergeCell ref="D106:D108"/>
    <mergeCell ref="K106:K108"/>
    <mergeCell ref="B111:C115"/>
    <mergeCell ref="D111:D113"/>
    <mergeCell ref="K111:K113"/>
    <mergeCell ref="B89:C95"/>
    <mergeCell ref="D91:D95"/>
    <mergeCell ref="K91:K95"/>
    <mergeCell ref="B97:C99"/>
    <mergeCell ref="B100:C103"/>
    <mergeCell ref="D100:D101"/>
    <mergeCell ref="K100:K101"/>
    <mergeCell ref="C96:E96"/>
    <mergeCell ref="C105:E105"/>
    <mergeCell ref="B75:C81"/>
    <mergeCell ref="D77:D81"/>
    <mergeCell ref="K77:K81"/>
    <mergeCell ref="B82:C88"/>
    <mergeCell ref="D84:D88"/>
    <mergeCell ref="K84:K88"/>
    <mergeCell ref="K57:K59"/>
    <mergeCell ref="D60:D61"/>
    <mergeCell ref="K60:K61"/>
    <mergeCell ref="B64:C66"/>
    <mergeCell ref="B68:C74"/>
    <mergeCell ref="D70:D74"/>
    <mergeCell ref="K70:K74"/>
    <mergeCell ref="C63:E63"/>
    <mergeCell ref="C67:E67"/>
    <mergeCell ref="B47:C47"/>
    <mergeCell ref="B49:C51"/>
    <mergeCell ref="B53:C55"/>
    <mergeCell ref="B57:C62"/>
    <mergeCell ref="D57:D59"/>
    <mergeCell ref="D38:D40"/>
    <mergeCell ref="K38:K40"/>
    <mergeCell ref="B42:C46"/>
    <mergeCell ref="D43:D45"/>
    <mergeCell ref="K43:K45"/>
    <mergeCell ref="C56:E56"/>
    <mergeCell ref="K22:K24"/>
    <mergeCell ref="B28:C32"/>
    <mergeCell ref="D28:D30"/>
    <mergeCell ref="K28:K30"/>
    <mergeCell ref="B33:C36"/>
    <mergeCell ref="D33:D34"/>
    <mergeCell ref="K33:K34"/>
    <mergeCell ref="A6:D6"/>
    <mergeCell ref="B10:C15"/>
    <mergeCell ref="D10:D13"/>
    <mergeCell ref="K10:K13"/>
    <mergeCell ref="B16:C18"/>
    <mergeCell ref="A1:D2"/>
    <mergeCell ref="E1:E2"/>
    <mergeCell ref="A3:D3"/>
    <mergeCell ref="A4:D4"/>
    <mergeCell ref="A5:D5"/>
    <mergeCell ref="B189:E189"/>
    <mergeCell ref="C190:E190"/>
    <mergeCell ref="C195:E195"/>
    <mergeCell ref="C142:E142"/>
    <mergeCell ref="C147:E147"/>
    <mergeCell ref="C160:E160"/>
    <mergeCell ref="C175:E175"/>
    <mergeCell ref="C182:E182"/>
    <mergeCell ref="B148:C152"/>
    <mergeCell ref="D148:D150"/>
    <mergeCell ref="B161:C165"/>
    <mergeCell ref="D161:D163"/>
    <mergeCell ref="B176:C178"/>
    <mergeCell ref="B179:C181"/>
    <mergeCell ref="B183:C185"/>
    <mergeCell ref="C130:E130"/>
    <mergeCell ref="C27:E27"/>
    <mergeCell ref="C48:E48"/>
    <mergeCell ref="C52:E52"/>
    <mergeCell ref="C116:E116"/>
    <mergeCell ref="B19:C21"/>
    <mergeCell ref="B22:C26"/>
    <mergeCell ref="D22:D24"/>
    <mergeCell ref="B37:C41"/>
    <mergeCell ref="L10:L15"/>
    <mergeCell ref="L16:L18"/>
    <mergeCell ref="L19:L21"/>
    <mergeCell ref="L22:L26"/>
    <mergeCell ref="L28:L32"/>
    <mergeCell ref="L33:L36"/>
    <mergeCell ref="L37:L41"/>
    <mergeCell ref="L42:L46"/>
    <mergeCell ref="L49:L51"/>
    <mergeCell ref="L53:L55"/>
    <mergeCell ref="L57:L62"/>
    <mergeCell ref="L64:L66"/>
    <mergeCell ref="L68:L74"/>
    <mergeCell ref="L75:L81"/>
    <mergeCell ref="L82:L88"/>
    <mergeCell ref="L89:L95"/>
    <mergeCell ref="L97:L99"/>
    <mergeCell ref="L100:L103"/>
    <mergeCell ref="L106:L110"/>
    <mergeCell ref="L111:L115"/>
    <mergeCell ref="L117:L120"/>
    <mergeCell ref="L121:L124"/>
    <mergeCell ref="L125:L129"/>
    <mergeCell ref="L131:L135"/>
    <mergeCell ref="L136:L140"/>
    <mergeCell ref="L143:L146"/>
    <mergeCell ref="L148:L152"/>
    <mergeCell ref="L153:L156"/>
    <mergeCell ref="L157:L159"/>
    <mergeCell ref="L161:L165"/>
    <mergeCell ref="L166:L169"/>
    <mergeCell ref="L170:L174"/>
    <mergeCell ref="L176:L178"/>
    <mergeCell ref="L179:L181"/>
    <mergeCell ref="L183:L185"/>
    <mergeCell ref="L186:L188"/>
    <mergeCell ref="L191:L194"/>
  </mergeCell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N199"/>
  <sheetViews>
    <sheetView topLeftCell="B1" workbookViewId="0">
      <selection activeCell="E44" sqref="E44"/>
    </sheetView>
  </sheetViews>
  <sheetFormatPr baseColWidth="10" defaultColWidth="8.83203125" defaultRowHeight="15" outlineLevelRow="1" x14ac:dyDescent="0"/>
  <cols>
    <col min="1" max="4" width="8.83203125" style="232"/>
    <col min="5" max="5" width="76.83203125" style="232" bestFit="1" customWidth="1"/>
    <col min="6" max="6" width="23.6640625" style="352" bestFit="1" customWidth="1"/>
    <col min="7" max="7" width="9" style="245" bestFit="1" customWidth="1"/>
    <col min="8" max="8" width="5" style="245" bestFit="1" customWidth="1"/>
    <col min="9" max="10" width="15.6640625" style="232" customWidth="1"/>
    <col min="11" max="11" width="15.6640625" style="241" customWidth="1"/>
    <col min="12" max="12" width="20.6640625" style="242" customWidth="1"/>
    <col min="13" max="16384" width="8.83203125" style="232"/>
  </cols>
  <sheetData>
    <row r="1" spans="1:14">
      <c r="A1" s="1276" t="s">
        <v>62</v>
      </c>
      <c r="B1" s="1276"/>
      <c r="C1" s="1276"/>
      <c r="D1" s="1276"/>
      <c r="E1" s="1277" t="s">
        <v>61</v>
      </c>
    </row>
    <row r="2" spans="1:14">
      <c r="A2" s="1276"/>
      <c r="B2" s="1276"/>
      <c r="C2" s="1276"/>
      <c r="D2" s="1276"/>
      <c r="E2" s="1277"/>
    </row>
    <row r="3" spans="1:14">
      <c r="A3" s="1275" t="s">
        <v>64</v>
      </c>
      <c r="B3" s="1275"/>
      <c r="C3" s="1275"/>
      <c r="D3" s="1275"/>
      <c r="E3" s="266">
        <v>2000</v>
      </c>
    </row>
    <row r="4" spans="1:14">
      <c r="A4" s="1275" t="s">
        <v>359</v>
      </c>
      <c r="B4" s="1275"/>
      <c r="C4" s="1275"/>
      <c r="D4" s="1275"/>
      <c r="E4" s="267">
        <v>150</v>
      </c>
    </row>
    <row r="5" spans="1:14">
      <c r="A5" s="1275" t="s">
        <v>491</v>
      </c>
      <c r="B5" s="1275"/>
      <c r="C5" s="1275"/>
      <c r="D5" s="1275"/>
      <c r="E5" s="267">
        <v>0</v>
      </c>
    </row>
    <row r="6" spans="1:14" ht="16" thickBot="1">
      <c r="A6" s="1275" t="s">
        <v>361</v>
      </c>
      <c r="B6" s="1275"/>
      <c r="C6" s="1275"/>
      <c r="D6" s="1275"/>
      <c r="E6" s="267">
        <v>130</v>
      </c>
    </row>
    <row r="7" spans="1:14" ht="45" customHeight="1" thickBot="1">
      <c r="F7" s="480" t="s">
        <v>363</v>
      </c>
      <c r="G7" s="481" t="s">
        <v>336</v>
      </c>
      <c r="H7" s="481" t="s">
        <v>337</v>
      </c>
      <c r="I7" s="482" t="s">
        <v>365</v>
      </c>
      <c r="J7" s="482" t="s">
        <v>366</v>
      </c>
      <c r="K7" s="482" t="s">
        <v>560</v>
      </c>
      <c r="L7" s="483" t="s">
        <v>368</v>
      </c>
    </row>
    <row r="8" spans="1:14" s="109" customFormat="1" ht="14" thickBot="1">
      <c r="B8" s="447">
        <v>1</v>
      </c>
      <c r="C8" s="448" t="s">
        <v>28</v>
      </c>
      <c r="D8" s="449"/>
      <c r="E8" s="450"/>
      <c r="F8" s="463"/>
      <c r="G8" s="451"/>
      <c r="H8" s="451"/>
      <c r="I8" s="451"/>
      <c r="J8" s="451"/>
      <c r="K8" s="452"/>
      <c r="L8" s="453"/>
      <c r="N8" s="228"/>
    </row>
    <row r="9" spans="1:14" s="109" customFormat="1" ht="14" thickBot="1">
      <c r="B9" s="442">
        <v>1.1000000000000001</v>
      </c>
      <c r="C9" s="454" t="s">
        <v>0</v>
      </c>
      <c r="D9" s="443"/>
      <c r="E9" s="454"/>
      <c r="F9" s="464"/>
      <c r="G9" s="444"/>
      <c r="H9" s="444"/>
      <c r="I9" s="444"/>
      <c r="J9" s="444"/>
      <c r="K9" s="445"/>
      <c r="L9" s="446"/>
      <c r="N9" s="228"/>
    </row>
    <row r="10" spans="1:14" s="109" customFormat="1" ht="15" customHeight="1" outlineLevel="1">
      <c r="B10" s="1162" t="s">
        <v>515</v>
      </c>
      <c r="C10" s="1163"/>
      <c r="D10" s="1248" t="s">
        <v>370</v>
      </c>
      <c r="E10" s="392" t="s">
        <v>352</v>
      </c>
      <c r="F10" s="465"/>
      <c r="G10" s="393">
        <v>100</v>
      </c>
      <c r="H10" s="393" t="s">
        <v>360</v>
      </c>
      <c r="I10" s="394">
        <f>+VLOOKUP(E10,'Line items'!$B$3:$D$120,3,FALSE)</f>
        <v>60</v>
      </c>
      <c r="J10" s="394">
        <f>+I10*G10</f>
        <v>6000</v>
      </c>
      <c r="K10" s="1219">
        <f>+SUM(J10:J13)</f>
        <v>58500</v>
      </c>
      <c r="L10" s="1260">
        <f>+SUM(K10:K15)</f>
        <v>66500</v>
      </c>
      <c r="N10" s="228"/>
    </row>
    <row r="11" spans="1:14" s="109" customFormat="1" ht="15" customHeight="1" outlineLevel="1">
      <c r="B11" s="1164"/>
      <c r="C11" s="1160"/>
      <c r="D11" s="1249"/>
      <c r="E11" s="370" t="s">
        <v>648</v>
      </c>
      <c r="F11" s="466"/>
      <c r="G11" s="371">
        <v>100</v>
      </c>
      <c r="H11" s="371" t="s">
        <v>360</v>
      </c>
      <c r="I11" s="372">
        <f>+VLOOKUP(E11,'Line items'!$B$3:$D$120,3,FALSE)</f>
        <v>130</v>
      </c>
      <c r="J11" s="372">
        <f t="shared" ref="J11:J14" si="0">+I11*G11</f>
        <v>13000</v>
      </c>
      <c r="K11" s="1220"/>
      <c r="L11" s="1261"/>
      <c r="N11" s="228"/>
    </row>
    <row r="12" spans="1:14" s="109" customFormat="1" ht="15" customHeight="1" outlineLevel="1">
      <c r="B12" s="1164"/>
      <c r="C12" s="1160"/>
      <c r="D12" s="1249"/>
      <c r="E12" s="370" t="s">
        <v>759</v>
      </c>
      <c r="F12" s="467"/>
      <c r="G12" s="371">
        <v>160</v>
      </c>
      <c r="H12" s="371" t="s">
        <v>758</v>
      </c>
      <c r="I12" s="372">
        <f>+VLOOKUP(E12,'Line items'!$B$3:$D$102,3,FALSE)</f>
        <v>200</v>
      </c>
      <c r="J12" s="372">
        <f>+I12*G12</f>
        <v>32000</v>
      </c>
      <c r="K12" s="1220"/>
      <c r="L12" s="1261"/>
      <c r="N12" s="228"/>
    </row>
    <row r="13" spans="1:14" s="109" customFormat="1" ht="15" customHeight="1" outlineLevel="1">
      <c r="B13" s="1164"/>
      <c r="C13" s="1160"/>
      <c r="D13" s="1249"/>
      <c r="E13" s="370" t="s">
        <v>653</v>
      </c>
      <c r="F13" s="466"/>
      <c r="G13" s="371">
        <v>3</v>
      </c>
      <c r="H13" s="371" t="s">
        <v>364</v>
      </c>
      <c r="I13" s="372">
        <f>+VLOOKUP(E13,'Line items'!$B$3:$D$120,3,FALSE)</f>
        <v>2500</v>
      </c>
      <c r="J13" s="372">
        <f t="shared" si="0"/>
        <v>7500</v>
      </c>
      <c r="K13" s="1220"/>
      <c r="L13" s="1261"/>
      <c r="N13" s="228"/>
    </row>
    <row r="14" spans="1:14" s="109" customFormat="1" ht="15" customHeight="1" outlineLevel="1">
      <c r="B14" s="1164"/>
      <c r="C14" s="1160"/>
      <c r="D14" s="373" t="s">
        <v>369</v>
      </c>
      <c r="E14" s="374" t="s">
        <v>557</v>
      </c>
      <c r="F14" s="467"/>
      <c r="G14" s="375">
        <v>1</v>
      </c>
      <c r="H14" s="375" t="s">
        <v>364</v>
      </c>
      <c r="I14" s="372">
        <f>+VLOOKUP(E14,'Line items'!$B$3:$D$120,3,FALSE)</f>
        <v>8000</v>
      </c>
      <c r="J14" s="376">
        <f t="shared" si="0"/>
        <v>8000</v>
      </c>
      <c r="K14" s="377">
        <f>+J14</f>
        <v>8000</v>
      </c>
      <c r="L14" s="1261"/>
      <c r="N14" s="228"/>
    </row>
    <row r="15" spans="1:14" s="109" customFormat="1" ht="15" customHeight="1" outlineLevel="1" thickBot="1">
      <c r="B15" s="1165"/>
      <c r="C15" s="1166"/>
      <c r="D15" s="395" t="s">
        <v>371</v>
      </c>
      <c r="E15" s="396" t="s">
        <v>301</v>
      </c>
      <c r="F15" s="468"/>
      <c r="G15" s="397"/>
      <c r="H15" s="397"/>
      <c r="I15" s="398"/>
      <c r="J15" s="398"/>
      <c r="K15" s="399"/>
      <c r="L15" s="1262"/>
      <c r="N15" s="228"/>
    </row>
    <row r="16" spans="1:14" s="109" customFormat="1" ht="15" customHeight="1" outlineLevel="1">
      <c r="B16" s="1162" t="s">
        <v>516</v>
      </c>
      <c r="C16" s="1163"/>
      <c r="D16" s="400" t="s">
        <v>380</v>
      </c>
      <c r="E16" s="401" t="s">
        <v>302</v>
      </c>
      <c r="F16" s="469"/>
      <c r="G16" s="402"/>
      <c r="H16" s="402"/>
      <c r="I16" s="403"/>
      <c r="J16" s="403"/>
      <c r="K16" s="404"/>
      <c r="L16" s="1260">
        <f>+SUM(K16:K18)</f>
        <v>0</v>
      </c>
      <c r="N16" s="228"/>
    </row>
    <row r="17" spans="2:14" s="109" customFormat="1" ht="15" customHeight="1" outlineLevel="1">
      <c r="B17" s="1164"/>
      <c r="C17" s="1160"/>
      <c r="D17" s="373" t="s">
        <v>373</v>
      </c>
      <c r="E17" s="374" t="s">
        <v>88</v>
      </c>
      <c r="F17" s="467"/>
      <c r="G17" s="375"/>
      <c r="H17" s="375"/>
      <c r="I17" s="376"/>
      <c r="J17" s="376"/>
      <c r="K17" s="377"/>
      <c r="L17" s="1261"/>
      <c r="N17" s="228"/>
    </row>
    <row r="18" spans="2:14" s="109" customFormat="1" ht="15" customHeight="1" outlineLevel="1" thickBot="1">
      <c r="B18" s="1165"/>
      <c r="C18" s="1166"/>
      <c r="D18" s="395" t="s">
        <v>372</v>
      </c>
      <c r="E18" s="396" t="s">
        <v>88</v>
      </c>
      <c r="F18" s="468"/>
      <c r="G18" s="397"/>
      <c r="H18" s="397"/>
      <c r="I18" s="398"/>
      <c r="J18" s="398"/>
      <c r="K18" s="399"/>
      <c r="L18" s="1262"/>
      <c r="N18" s="228"/>
    </row>
    <row r="19" spans="2:14" s="109" customFormat="1" ht="15" customHeight="1" outlineLevel="1">
      <c r="B19" s="1162" t="s">
        <v>517</v>
      </c>
      <c r="C19" s="1163"/>
      <c r="D19" s="405" t="s">
        <v>374</v>
      </c>
      <c r="E19" s="401" t="s">
        <v>88</v>
      </c>
      <c r="F19" s="469"/>
      <c r="G19" s="402"/>
      <c r="H19" s="402"/>
      <c r="I19" s="403"/>
      <c r="J19" s="403"/>
      <c r="K19" s="404"/>
      <c r="L19" s="1260">
        <f>+SUM(K19:K21)</f>
        <v>0</v>
      </c>
      <c r="N19" s="228"/>
    </row>
    <row r="20" spans="2:14" s="109" customFormat="1" ht="15" customHeight="1" outlineLevel="1">
      <c r="B20" s="1164"/>
      <c r="C20" s="1160"/>
      <c r="D20" s="378" t="s">
        <v>375</v>
      </c>
      <c r="E20" s="374" t="s">
        <v>88</v>
      </c>
      <c r="F20" s="467"/>
      <c r="G20" s="375"/>
      <c r="H20" s="375"/>
      <c r="I20" s="376"/>
      <c r="J20" s="376"/>
      <c r="K20" s="377"/>
      <c r="L20" s="1261"/>
      <c r="N20" s="228"/>
    </row>
    <row r="21" spans="2:14" s="109" customFormat="1" ht="15" customHeight="1" outlineLevel="1" thickBot="1">
      <c r="B21" s="1165"/>
      <c r="C21" s="1166"/>
      <c r="D21" s="406" t="s">
        <v>376</v>
      </c>
      <c r="E21" s="396" t="s">
        <v>88</v>
      </c>
      <c r="F21" s="468"/>
      <c r="G21" s="397"/>
      <c r="H21" s="397"/>
      <c r="I21" s="398"/>
      <c r="J21" s="398"/>
      <c r="K21" s="399"/>
      <c r="L21" s="1262"/>
      <c r="N21" s="228"/>
    </row>
    <row r="22" spans="2:14" s="109" customFormat="1" ht="15" customHeight="1" outlineLevel="1">
      <c r="B22" s="1177" t="s">
        <v>518</v>
      </c>
      <c r="C22" s="1178"/>
      <c r="D22" s="1246" t="s">
        <v>377</v>
      </c>
      <c r="E22" s="401" t="s">
        <v>305</v>
      </c>
      <c r="F22" s="469"/>
      <c r="G22" s="402">
        <v>1</v>
      </c>
      <c r="H22" s="402" t="s">
        <v>364</v>
      </c>
      <c r="I22" s="394">
        <f>+VLOOKUP(E22,'Line items'!$B$3:$D$120,3,FALSE)</f>
        <v>2500</v>
      </c>
      <c r="J22" s="403">
        <f>+I22*G22</f>
        <v>2500</v>
      </c>
      <c r="K22" s="1217">
        <f>+SUM(J22:J24)</f>
        <v>12500</v>
      </c>
      <c r="L22" s="1272">
        <f>+SUM(K22:K26)</f>
        <v>44500</v>
      </c>
      <c r="N22" s="228"/>
    </row>
    <row r="23" spans="2:14" s="109" customFormat="1" ht="15" customHeight="1" outlineLevel="1">
      <c r="B23" s="1179"/>
      <c r="C23" s="1180"/>
      <c r="D23" s="1247"/>
      <c r="E23" s="374" t="s">
        <v>306</v>
      </c>
      <c r="F23" s="467"/>
      <c r="G23" s="375">
        <v>1</v>
      </c>
      <c r="H23" s="375" t="s">
        <v>364</v>
      </c>
      <c r="I23" s="372">
        <f>+VLOOKUP(E23,'Line items'!$B$3:$D$120,3,FALSE)</f>
        <v>10000</v>
      </c>
      <c r="J23" s="376">
        <f>+I23*G23</f>
        <v>10000</v>
      </c>
      <c r="K23" s="1218"/>
      <c r="L23" s="1270"/>
      <c r="N23" s="228"/>
    </row>
    <row r="24" spans="2:14" s="109" customFormat="1" ht="15" customHeight="1" outlineLevel="1">
      <c r="B24" s="1179"/>
      <c r="C24" s="1180"/>
      <c r="D24" s="1247"/>
      <c r="E24" s="379" t="s">
        <v>307</v>
      </c>
      <c r="F24" s="467"/>
      <c r="G24" s="375"/>
      <c r="H24" s="375" t="s">
        <v>360</v>
      </c>
      <c r="I24" s="376"/>
      <c r="J24" s="376">
        <f>+I24*G24</f>
        <v>0</v>
      </c>
      <c r="K24" s="1218"/>
      <c r="L24" s="1270"/>
      <c r="N24" s="228"/>
    </row>
    <row r="25" spans="2:14" s="109" customFormat="1" ht="15" customHeight="1" outlineLevel="1">
      <c r="B25" s="1179"/>
      <c r="C25" s="1180"/>
      <c r="D25" s="380" t="s">
        <v>378</v>
      </c>
      <c r="E25" s="370" t="s">
        <v>170</v>
      </c>
      <c r="F25" s="467"/>
      <c r="G25" s="375">
        <f>G12</f>
        <v>160</v>
      </c>
      <c r="H25" s="375" t="s">
        <v>758</v>
      </c>
      <c r="I25" s="372">
        <f>+VLOOKUP(E25,'Line items'!$B$3:$D$120,3,FALSE)</f>
        <v>200</v>
      </c>
      <c r="J25" s="376">
        <f t="shared" ref="J25:J26" si="1">+I25*G25</f>
        <v>32000</v>
      </c>
      <c r="K25" s="377">
        <f>+J25</f>
        <v>32000</v>
      </c>
      <c r="L25" s="1270"/>
      <c r="N25" s="228"/>
    </row>
    <row r="26" spans="2:14" s="109" customFormat="1" ht="15" customHeight="1" outlineLevel="1" thickBot="1">
      <c r="B26" s="1183"/>
      <c r="C26" s="1184"/>
      <c r="D26" s="425" t="s">
        <v>379</v>
      </c>
      <c r="E26" s="370" t="s">
        <v>170</v>
      </c>
      <c r="F26" s="470"/>
      <c r="G26" s="383">
        <v>0</v>
      </c>
      <c r="H26" s="383" t="s">
        <v>758</v>
      </c>
      <c r="I26" s="426">
        <f>+VLOOKUP(E26,'Line items'!$B$3:$D$120,3,FALSE)</f>
        <v>200</v>
      </c>
      <c r="J26" s="384">
        <f t="shared" si="1"/>
        <v>0</v>
      </c>
      <c r="K26" s="385">
        <f>+J26</f>
        <v>0</v>
      </c>
      <c r="L26" s="1273"/>
      <c r="N26" s="228"/>
    </row>
    <row r="27" spans="2:14" s="109" customFormat="1" ht="14" thickBot="1">
      <c r="B27" s="442">
        <v>1.2</v>
      </c>
      <c r="C27" s="1167" t="s">
        <v>4</v>
      </c>
      <c r="D27" s="1167"/>
      <c r="E27" s="1167"/>
      <c r="F27" s="464"/>
      <c r="G27" s="444"/>
      <c r="H27" s="444"/>
      <c r="I27" s="444"/>
      <c r="J27" s="444"/>
      <c r="K27" s="445"/>
      <c r="L27" s="446"/>
      <c r="N27" s="228"/>
    </row>
    <row r="28" spans="2:14" s="109" customFormat="1" ht="15" customHeight="1" outlineLevel="1">
      <c r="B28" s="1170" t="s">
        <v>519</v>
      </c>
      <c r="C28" s="1171"/>
      <c r="D28" s="1280" t="s">
        <v>381</v>
      </c>
      <c r="E28" s="420" t="s">
        <v>658</v>
      </c>
      <c r="F28" s="471"/>
      <c r="G28" s="421">
        <v>300</v>
      </c>
      <c r="H28" s="421" t="s">
        <v>360</v>
      </c>
      <c r="I28" s="391">
        <f>+VLOOKUP(E28,'Line items'!$B$3:$D$120,3,FALSE)</f>
        <v>50</v>
      </c>
      <c r="J28" s="391">
        <f t="shared" ref="J28:J30" si="2">+I28*G28</f>
        <v>15000</v>
      </c>
      <c r="K28" s="1281">
        <f>+SUM(J28:J30)</f>
        <v>85500</v>
      </c>
      <c r="L28" s="1274">
        <f>+SUM(K28:K32)</f>
        <v>85500</v>
      </c>
      <c r="N28" s="228"/>
    </row>
    <row r="29" spans="2:14" s="109" customFormat="1" ht="15" customHeight="1" outlineLevel="1">
      <c r="B29" s="1164"/>
      <c r="C29" s="1160"/>
      <c r="D29" s="1249"/>
      <c r="E29" s="370" t="s">
        <v>659</v>
      </c>
      <c r="F29" s="466"/>
      <c r="G29" s="371">
        <v>300</v>
      </c>
      <c r="H29" s="371" t="s">
        <v>360</v>
      </c>
      <c r="I29" s="372">
        <f>+VLOOKUP(E29,'Line items'!$B$3:$D$120,3,FALSE)</f>
        <v>210</v>
      </c>
      <c r="J29" s="372">
        <f t="shared" si="2"/>
        <v>63000</v>
      </c>
      <c r="K29" s="1220"/>
      <c r="L29" s="1261"/>
      <c r="N29" s="228"/>
    </row>
    <row r="30" spans="2:14" s="109" customFormat="1" ht="15" customHeight="1" outlineLevel="1">
      <c r="B30" s="1164"/>
      <c r="C30" s="1160"/>
      <c r="D30" s="1249"/>
      <c r="E30" s="370" t="s">
        <v>660</v>
      </c>
      <c r="F30" s="466"/>
      <c r="G30" s="371">
        <v>3</v>
      </c>
      <c r="H30" s="371" t="s">
        <v>364</v>
      </c>
      <c r="I30" s="372">
        <f>+VLOOKUP(E30,'Line items'!$B$3:$D$120,3,FALSE)</f>
        <v>2500</v>
      </c>
      <c r="J30" s="372">
        <f t="shared" si="2"/>
        <v>7500</v>
      </c>
      <c r="K30" s="1220"/>
      <c r="L30" s="1261"/>
      <c r="N30" s="228"/>
    </row>
    <row r="31" spans="2:14" s="109" customFormat="1" ht="15" customHeight="1" outlineLevel="1">
      <c r="B31" s="1164"/>
      <c r="C31" s="1160"/>
      <c r="D31" s="373" t="s">
        <v>382</v>
      </c>
      <c r="E31" s="374" t="s">
        <v>88</v>
      </c>
      <c r="F31" s="467"/>
      <c r="G31" s="375"/>
      <c r="H31" s="375"/>
      <c r="I31" s="376"/>
      <c r="J31" s="376"/>
      <c r="K31" s="415"/>
      <c r="L31" s="1261"/>
      <c r="N31" s="228"/>
    </row>
    <row r="32" spans="2:14" s="109" customFormat="1" ht="15" customHeight="1" outlineLevel="1" thickBot="1">
      <c r="B32" s="1165"/>
      <c r="C32" s="1166"/>
      <c r="D32" s="395" t="s">
        <v>383</v>
      </c>
      <c r="E32" s="396" t="s">
        <v>301</v>
      </c>
      <c r="F32" s="468"/>
      <c r="G32" s="397"/>
      <c r="H32" s="397"/>
      <c r="I32" s="398"/>
      <c r="J32" s="398"/>
      <c r="K32" s="424"/>
      <c r="L32" s="1262"/>
      <c r="N32" s="228"/>
    </row>
    <row r="33" spans="2:14" s="109" customFormat="1" ht="15" customHeight="1" outlineLevel="1">
      <c r="B33" s="1162" t="s">
        <v>520</v>
      </c>
      <c r="C33" s="1163"/>
      <c r="D33" s="1248" t="s">
        <v>384</v>
      </c>
      <c r="E33" s="392" t="s">
        <v>658</v>
      </c>
      <c r="F33" s="465"/>
      <c r="G33" s="393">
        <v>300</v>
      </c>
      <c r="H33" s="393" t="s">
        <v>360</v>
      </c>
      <c r="I33" s="394">
        <f>+VLOOKUP(E33,'Line items'!$B$3:$D$120,3,FALSE)</f>
        <v>50</v>
      </c>
      <c r="J33" s="394">
        <f t="shared" ref="J33:J34" si="3">+I33*G33</f>
        <v>15000</v>
      </c>
      <c r="K33" s="1219">
        <f>+SUM(J33:J34)</f>
        <v>54000</v>
      </c>
      <c r="L33" s="1260">
        <f>+SUM(K33:K36)</f>
        <v>54000</v>
      </c>
      <c r="N33" s="228"/>
    </row>
    <row r="34" spans="2:14" s="109" customFormat="1" ht="15" customHeight="1" outlineLevel="1">
      <c r="B34" s="1164"/>
      <c r="C34" s="1160"/>
      <c r="D34" s="1249"/>
      <c r="E34" s="370" t="s">
        <v>661</v>
      </c>
      <c r="F34" s="466"/>
      <c r="G34" s="371">
        <v>300</v>
      </c>
      <c r="H34" s="371" t="s">
        <v>360</v>
      </c>
      <c r="I34" s="372">
        <f>+VLOOKUP(E34,'Line items'!$B$3:$D$120,3,FALSE)</f>
        <v>130</v>
      </c>
      <c r="J34" s="372">
        <f t="shared" si="3"/>
        <v>39000</v>
      </c>
      <c r="K34" s="1220"/>
      <c r="L34" s="1261"/>
      <c r="N34" s="228"/>
    </row>
    <row r="35" spans="2:14" s="109" customFormat="1" ht="15" customHeight="1" outlineLevel="1">
      <c r="B35" s="1164"/>
      <c r="C35" s="1160"/>
      <c r="D35" s="373" t="s">
        <v>385</v>
      </c>
      <c r="E35" s="374" t="s">
        <v>88</v>
      </c>
      <c r="F35" s="467"/>
      <c r="G35" s="375"/>
      <c r="H35" s="375"/>
      <c r="I35" s="376"/>
      <c r="J35" s="376"/>
      <c r="K35" s="415"/>
      <c r="L35" s="1261"/>
      <c r="N35" s="228"/>
    </row>
    <row r="36" spans="2:14" s="109" customFormat="1" ht="15" customHeight="1" outlineLevel="1" thickBot="1">
      <c r="B36" s="1165"/>
      <c r="C36" s="1166"/>
      <c r="D36" s="395" t="s">
        <v>386</v>
      </c>
      <c r="E36" s="396" t="s">
        <v>301</v>
      </c>
      <c r="F36" s="468"/>
      <c r="G36" s="397"/>
      <c r="H36" s="397"/>
      <c r="I36" s="398"/>
      <c r="J36" s="398"/>
      <c r="K36" s="424"/>
      <c r="L36" s="1262"/>
      <c r="N36" s="228"/>
    </row>
    <row r="37" spans="2:14" s="109" customFormat="1" ht="15" customHeight="1" outlineLevel="1">
      <c r="B37" s="1162" t="s">
        <v>521</v>
      </c>
      <c r="C37" s="1163"/>
      <c r="D37" s="400" t="s">
        <v>387</v>
      </c>
      <c r="E37" s="422" t="s">
        <v>308</v>
      </c>
      <c r="F37" s="469"/>
      <c r="G37" s="402">
        <v>150</v>
      </c>
      <c r="H37" s="402" t="s">
        <v>360</v>
      </c>
      <c r="I37" s="403"/>
      <c r="J37" s="394">
        <f t="shared" ref="J37:J40" si="4">+I37*G37</f>
        <v>0</v>
      </c>
      <c r="K37" s="423">
        <f>+J37</f>
        <v>0</v>
      </c>
      <c r="L37" s="1260">
        <f>+SUM(K37:K41)</f>
        <v>67500</v>
      </c>
      <c r="N37" s="228"/>
    </row>
    <row r="38" spans="2:14" s="109" customFormat="1" ht="15" customHeight="1" outlineLevel="1">
      <c r="B38" s="1164"/>
      <c r="C38" s="1160"/>
      <c r="D38" s="1249" t="s">
        <v>388</v>
      </c>
      <c r="E38" s="370" t="s">
        <v>662</v>
      </c>
      <c r="F38" s="467"/>
      <c r="G38" s="375">
        <v>1</v>
      </c>
      <c r="H38" s="375" t="s">
        <v>364</v>
      </c>
      <c r="I38" s="372">
        <f>+VLOOKUP(E38,'Line items'!$B$3:$D$120,3,FALSE)</f>
        <v>30000</v>
      </c>
      <c r="J38" s="372">
        <f t="shared" si="4"/>
        <v>30000</v>
      </c>
      <c r="K38" s="1220">
        <f>+SUM(J38:J40)</f>
        <v>67500</v>
      </c>
      <c r="L38" s="1261"/>
      <c r="N38" s="228"/>
    </row>
    <row r="39" spans="2:14" s="109" customFormat="1" ht="15" customHeight="1" outlineLevel="1">
      <c r="B39" s="1164"/>
      <c r="C39" s="1160"/>
      <c r="D39" s="1249"/>
      <c r="E39" s="370" t="s">
        <v>663</v>
      </c>
      <c r="F39" s="467"/>
      <c r="G39" s="375">
        <v>150</v>
      </c>
      <c r="H39" s="375" t="s">
        <v>360</v>
      </c>
      <c r="I39" s="372">
        <f>+VLOOKUP(E39,'Line items'!$B$3:$D$120,3,FALSE)</f>
        <v>210</v>
      </c>
      <c r="J39" s="372">
        <f t="shared" si="4"/>
        <v>31500</v>
      </c>
      <c r="K39" s="1220"/>
      <c r="L39" s="1261"/>
      <c r="N39" s="228"/>
    </row>
    <row r="40" spans="2:14" s="109" customFormat="1" ht="15" customHeight="1" outlineLevel="1">
      <c r="B40" s="1164"/>
      <c r="C40" s="1160"/>
      <c r="D40" s="1249"/>
      <c r="E40" s="370" t="s">
        <v>309</v>
      </c>
      <c r="F40" s="467"/>
      <c r="G40" s="375">
        <v>150</v>
      </c>
      <c r="H40" s="375" t="s">
        <v>360</v>
      </c>
      <c r="I40" s="372">
        <f>+VLOOKUP(E40,'Line items'!$B$3:$D$120,3,FALSE)</f>
        <v>40</v>
      </c>
      <c r="J40" s="372">
        <f t="shared" si="4"/>
        <v>6000</v>
      </c>
      <c r="K40" s="1220"/>
      <c r="L40" s="1261"/>
      <c r="N40" s="228"/>
    </row>
    <row r="41" spans="2:14" s="109" customFormat="1" ht="15" customHeight="1" outlineLevel="1" thickBot="1">
      <c r="B41" s="1172"/>
      <c r="C41" s="1161"/>
      <c r="D41" s="381" t="s">
        <v>389</v>
      </c>
      <c r="E41" s="382" t="s">
        <v>301</v>
      </c>
      <c r="F41" s="470"/>
      <c r="G41" s="383"/>
      <c r="H41" s="383"/>
      <c r="I41" s="384"/>
      <c r="J41" s="384"/>
      <c r="K41" s="385"/>
      <c r="L41" s="1263"/>
      <c r="N41" s="228"/>
    </row>
    <row r="42" spans="2:14" s="109" customFormat="1" ht="15" customHeight="1" outlineLevel="1">
      <c r="B42" s="1162" t="s">
        <v>522</v>
      </c>
      <c r="C42" s="1163"/>
      <c r="D42" s="400" t="s">
        <v>390</v>
      </c>
      <c r="E42" s="422" t="s">
        <v>308</v>
      </c>
      <c r="F42" s="469"/>
      <c r="G42" s="402">
        <v>150</v>
      </c>
      <c r="H42" s="402" t="s">
        <v>360</v>
      </c>
      <c r="I42" s="403"/>
      <c r="J42" s="394">
        <f t="shared" ref="J42:J45" si="5">+I42*G42</f>
        <v>0</v>
      </c>
      <c r="K42" s="423">
        <f>+J42</f>
        <v>0</v>
      </c>
      <c r="L42" s="1260">
        <f>+SUM(K42:K46)</f>
        <v>67500</v>
      </c>
      <c r="N42" s="228"/>
    </row>
    <row r="43" spans="2:14" s="109" customFormat="1" ht="15" customHeight="1" outlineLevel="1">
      <c r="B43" s="1164"/>
      <c r="C43" s="1160"/>
      <c r="D43" s="1249" t="s">
        <v>391</v>
      </c>
      <c r="E43" s="370" t="s">
        <v>662</v>
      </c>
      <c r="F43" s="467"/>
      <c r="G43" s="375">
        <v>1</v>
      </c>
      <c r="H43" s="375" t="s">
        <v>364</v>
      </c>
      <c r="I43" s="372">
        <f>+VLOOKUP(E43,'Line items'!$B$3:$D$120,3,FALSE)</f>
        <v>30000</v>
      </c>
      <c r="J43" s="372">
        <f t="shared" si="5"/>
        <v>30000</v>
      </c>
      <c r="K43" s="1220">
        <f>+SUM(J43:J45)</f>
        <v>67500</v>
      </c>
      <c r="L43" s="1261"/>
      <c r="N43" s="228"/>
    </row>
    <row r="44" spans="2:14" s="109" customFormat="1" ht="15" customHeight="1" outlineLevel="1">
      <c r="B44" s="1164"/>
      <c r="C44" s="1160"/>
      <c r="D44" s="1249"/>
      <c r="E44" s="370" t="s">
        <v>663</v>
      </c>
      <c r="F44" s="472"/>
      <c r="G44" s="371">
        <v>150</v>
      </c>
      <c r="H44" s="371" t="s">
        <v>360</v>
      </c>
      <c r="I44" s="372">
        <f>+VLOOKUP(E44,'Line items'!$B$3:$D$120,3,FALSE)</f>
        <v>210</v>
      </c>
      <c r="J44" s="372">
        <f t="shared" si="5"/>
        <v>31500</v>
      </c>
      <c r="K44" s="1220"/>
      <c r="L44" s="1261"/>
      <c r="N44" s="228"/>
    </row>
    <row r="45" spans="2:14" s="109" customFormat="1" ht="15" customHeight="1" outlineLevel="1">
      <c r="B45" s="1164"/>
      <c r="C45" s="1160"/>
      <c r="D45" s="1249"/>
      <c r="E45" s="370" t="s">
        <v>309</v>
      </c>
      <c r="F45" s="466"/>
      <c r="G45" s="371">
        <v>150</v>
      </c>
      <c r="H45" s="371" t="s">
        <v>360</v>
      </c>
      <c r="I45" s="372">
        <f>+VLOOKUP(E45,'Line items'!$B$3:$D$120,3,FALSE)</f>
        <v>40</v>
      </c>
      <c r="J45" s="372">
        <f t="shared" si="5"/>
        <v>6000</v>
      </c>
      <c r="K45" s="1220"/>
      <c r="L45" s="1261"/>
      <c r="N45" s="228"/>
    </row>
    <row r="46" spans="2:14" s="109" customFormat="1" ht="15" customHeight="1" outlineLevel="1" thickBot="1">
      <c r="B46" s="1165"/>
      <c r="C46" s="1166"/>
      <c r="D46" s="395" t="s">
        <v>392</v>
      </c>
      <c r="E46" s="396" t="s">
        <v>301</v>
      </c>
      <c r="F46" s="468"/>
      <c r="G46" s="397"/>
      <c r="H46" s="397"/>
      <c r="I46" s="398"/>
      <c r="J46" s="398"/>
      <c r="K46" s="424"/>
      <c r="L46" s="1262"/>
      <c r="N46" s="228"/>
    </row>
    <row r="47" spans="2:14" s="109" customFormat="1" ht="15" customHeight="1" outlineLevel="1" thickBot="1">
      <c r="B47" s="1212" t="s">
        <v>523</v>
      </c>
      <c r="C47" s="1213"/>
      <c r="D47" s="431" t="s">
        <v>393</v>
      </c>
      <c r="E47" s="432" t="s">
        <v>88</v>
      </c>
      <c r="F47" s="473"/>
      <c r="G47" s="434"/>
      <c r="H47" s="433"/>
      <c r="I47" s="435"/>
      <c r="J47" s="435"/>
      <c r="K47" s="436"/>
      <c r="L47" s="437">
        <f>+K47</f>
        <v>0</v>
      </c>
      <c r="N47" s="228"/>
    </row>
    <row r="48" spans="2:14" s="109" customFormat="1" ht="16" thickBot="1">
      <c r="B48" s="442">
        <v>1.3</v>
      </c>
      <c r="C48" s="1167" t="s">
        <v>32</v>
      </c>
      <c r="D48" s="1167"/>
      <c r="E48" s="1167"/>
      <c r="F48" s="464"/>
      <c r="G48" s="444"/>
      <c r="H48" s="444"/>
      <c r="I48" s="444"/>
      <c r="J48" s="444"/>
      <c r="K48" s="445"/>
      <c r="L48" s="455"/>
      <c r="N48" s="228"/>
    </row>
    <row r="49" spans="2:14" s="109" customFormat="1" ht="15" customHeight="1" outlineLevel="1">
      <c r="B49" s="1162" t="s">
        <v>524</v>
      </c>
      <c r="C49" s="1163"/>
      <c r="D49" s="400" t="s">
        <v>396</v>
      </c>
      <c r="E49" s="438" t="s">
        <v>695</v>
      </c>
      <c r="F49" s="465"/>
      <c r="G49" s="393">
        <v>4</v>
      </c>
      <c r="H49" s="393" t="s">
        <v>364</v>
      </c>
      <c r="I49" s="394">
        <f>+VLOOKUP(E49,'Line items'!$B$3:$D$120,3,FALSE)</f>
        <v>500</v>
      </c>
      <c r="J49" s="394">
        <f t="shared" ref="J49:J51" si="6">+I49*G49</f>
        <v>2000</v>
      </c>
      <c r="K49" s="423">
        <f>+J49</f>
        <v>2000</v>
      </c>
      <c r="L49" s="1260">
        <f>+SUM(K49:K51)</f>
        <v>62000</v>
      </c>
      <c r="N49" s="228"/>
    </row>
    <row r="50" spans="2:14" s="109" customFormat="1" ht="15" customHeight="1" outlineLevel="1">
      <c r="B50" s="1164"/>
      <c r="C50" s="1160"/>
      <c r="D50" s="373" t="s">
        <v>397</v>
      </c>
      <c r="E50" s="370" t="s">
        <v>665</v>
      </c>
      <c r="F50" s="466"/>
      <c r="G50" s="371">
        <v>300</v>
      </c>
      <c r="H50" s="371" t="s">
        <v>360</v>
      </c>
      <c r="I50" s="372">
        <f>+VLOOKUP(E50,'Line items'!$B$3:$D$120,3,FALSE)</f>
        <v>200</v>
      </c>
      <c r="J50" s="372">
        <f t="shared" si="6"/>
        <v>60000</v>
      </c>
      <c r="K50" s="416">
        <f>+J50</f>
        <v>60000</v>
      </c>
      <c r="L50" s="1261"/>
      <c r="N50" s="228"/>
    </row>
    <row r="51" spans="2:14" s="109" customFormat="1" ht="15" customHeight="1" outlineLevel="1" thickBot="1">
      <c r="B51" s="1165"/>
      <c r="C51" s="1166"/>
      <c r="D51" s="395" t="s">
        <v>398</v>
      </c>
      <c r="E51" s="439" t="s">
        <v>310</v>
      </c>
      <c r="F51" s="474" t="s">
        <v>755</v>
      </c>
      <c r="G51" s="440"/>
      <c r="H51" s="440" t="s">
        <v>364</v>
      </c>
      <c r="I51" s="408">
        <f>+VLOOKUP($E51,GenRetL!$E$10:$I$194,5,FALSE)</f>
        <v>0</v>
      </c>
      <c r="J51" s="408">
        <f t="shared" si="6"/>
        <v>0</v>
      </c>
      <c r="K51" s="441">
        <f>+J51</f>
        <v>0</v>
      </c>
      <c r="L51" s="1262"/>
      <c r="N51" s="228"/>
    </row>
    <row r="52" spans="2:14" s="109" customFormat="1" ht="16" thickBot="1">
      <c r="B52" s="457">
        <v>1.4</v>
      </c>
      <c r="C52" s="1168" t="s">
        <v>14</v>
      </c>
      <c r="D52" s="1168"/>
      <c r="E52" s="1168"/>
      <c r="F52" s="475"/>
      <c r="G52" s="458"/>
      <c r="H52" s="458"/>
      <c r="I52" s="458"/>
      <c r="J52" s="458"/>
      <c r="K52" s="459"/>
      <c r="L52" s="460"/>
      <c r="N52" s="228"/>
    </row>
    <row r="53" spans="2:14" s="109" customFormat="1" ht="15" customHeight="1" outlineLevel="1">
      <c r="B53" s="1162" t="s">
        <v>525</v>
      </c>
      <c r="C53" s="1163"/>
      <c r="D53" s="400" t="s">
        <v>399</v>
      </c>
      <c r="E53" s="401" t="s">
        <v>301</v>
      </c>
      <c r="F53" s="469"/>
      <c r="G53" s="402"/>
      <c r="H53" s="402"/>
      <c r="I53" s="403"/>
      <c r="J53" s="403"/>
      <c r="K53" s="461"/>
      <c r="L53" s="1260">
        <f>+SUM(K53:K55)</f>
        <v>0</v>
      </c>
      <c r="N53" s="228"/>
    </row>
    <row r="54" spans="2:14" s="109" customFormat="1" ht="15" customHeight="1" outlineLevel="1">
      <c r="B54" s="1164"/>
      <c r="C54" s="1160"/>
      <c r="D54" s="373" t="s">
        <v>426</v>
      </c>
      <c r="E54" s="374" t="s">
        <v>301</v>
      </c>
      <c r="F54" s="467"/>
      <c r="G54" s="375"/>
      <c r="H54" s="375"/>
      <c r="I54" s="376"/>
      <c r="J54" s="376"/>
      <c r="K54" s="415"/>
      <c r="L54" s="1261"/>
      <c r="N54" s="228"/>
    </row>
    <row r="55" spans="2:14" s="109" customFormat="1" ht="15" customHeight="1" outlineLevel="1" thickBot="1">
      <c r="B55" s="1165"/>
      <c r="C55" s="1166"/>
      <c r="D55" s="395" t="s">
        <v>401</v>
      </c>
      <c r="E55" s="396" t="s">
        <v>301</v>
      </c>
      <c r="F55" s="468"/>
      <c r="G55" s="397"/>
      <c r="H55" s="397"/>
      <c r="I55" s="398"/>
      <c r="J55" s="398"/>
      <c r="K55" s="424"/>
      <c r="L55" s="1262"/>
      <c r="N55" s="228"/>
    </row>
    <row r="56" spans="2:14" s="109" customFormat="1" ht="16" thickBot="1">
      <c r="B56" s="442">
        <v>1.5</v>
      </c>
      <c r="C56" s="1167" t="s">
        <v>16</v>
      </c>
      <c r="D56" s="1167"/>
      <c r="E56" s="1167"/>
      <c r="F56" s="464"/>
      <c r="G56" s="444"/>
      <c r="H56" s="444"/>
      <c r="I56" s="444"/>
      <c r="J56" s="444"/>
      <c r="K56" s="445"/>
      <c r="L56" s="455"/>
      <c r="N56" s="228"/>
    </row>
    <row r="57" spans="2:14" s="109" customFormat="1" ht="15" customHeight="1" outlineLevel="1">
      <c r="B57" s="1162" t="s">
        <v>526</v>
      </c>
      <c r="C57" s="1163"/>
      <c r="D57" s="1248" t="s">
        <v>402</v>
      </c>
      <c r="E57" s="392" t="s">
        <v>490</v>
      </c>
      <c r="F57" s="465" t="s">
        <v>88</v>
      </c>
      <c r="G57" s="393"/>
      <c r="H57" s="393" t="s">
        <v>364</v>
      </c>
      <c r="I57" s="394"/>
      <c r="J57" s="394"/>
      <c r="K57" s="1219"/>
      <c r="L57" s="1260">
        <f>+SUM(K57:K62)</f>
        <v>0</v>
      </c>
      <c r="N57" s="228"/>
    </row>
    <row r="58" spans="2:14" s="109" customFormat="1" ht="15" customHeight="1" outlineLevel="1">
      <c r="B58" s="1164"/>
      <c r="C58" s="1160"/>
      <c r="D58" s="1249"/>
      <c r="E58" s="370" t="s">
        <v>311</v>
      </c>
      <c r="F58" s="466" t="s">
        <v>88</v>
      </c>
      <c r="G58" s="371"/>
      <c r="H58" s="371" t="s">
        <v>364</v>
      </c>
      <c r="I58" s="372"/>
      <c r="J58" s="372"/>
      <c r="K58" s="1220"/>
      <c r="L58" s="1261"/>
      <c r="N58" s="228"/>
    </row>
    <row r="59" spans="2:14" s="109" customFormat="1" ht="15" customHeight="1" outlineLevel="1">
      <c r="B59" s="1164"/>
      <c r="C59" s="1160"/>
      <c r="D59" s="1249"/>
      <c r="E59" s="370" t="s">
        <v>312</v>
      </c>
      <c r="F59" s="466" t="s">
        <v>88</v>
      </c>
      <c r="G59" s="371"/>
      <c r="H59" s="371"/>
      <c r="I59" s="372"/>
      <c r="J59" s="372"/>
      <c r="K59" s="1220"/>
      <c r="L59" s="1261"/>
      <c r="N59" s="228"/>
    </row>
    <row r="60" spans="2:14" s="109" customFormat="1" ht="15" customHeight="1" outlineLevel="1">
      <c r="B60" s="1164"/>
      <c r="C60" s="1160"/>
      <c r="D60" s="1249" t="s">
        <v>403</v>
      </c>
      <c r="E60" s="370" t="s">
        <v>313</v>
      </c>
      <c r="F60" s="466" t="s">
        <v>88</v>
      </c>
      <c r="G60" s="371"/>
      <c r="H60" s="371" t="s">
        <v>360</v>
      </c>
      <c r="I60" s="372"/>
      <c r="J60" s="372"/>
      <c r="K60" s="1220"/>
      <c r="L60" s="1261"/>
      <c r="N60" s="228"/>
    </row>
    <row r="61" spans="2:14" s="109" customFormat="1" ht="15" customHeight="1" outlineLevel="1">
      <c r="B61" s="1164"/>
      <c r="C61" s="1160"/>
      <c r="D61" s="1249"/>
      <c r="E61" s="370" t="s">
        <v>314</v>
      </c>
      <c r="F61" s="466" t="s">
        <v>88</v>
      </c>
      <c r="G61" s="371"/>
      <c r="H61" s="371" t="s">
        <v>364</v>
      </c>
      <c r="I61" s="372"/>
      <c r="J61" s="372"/>
      <c r="K61" s="1220"/>
      <c r="L61" s="1261"/>
      <c r="N61" s="228"/>
    </row>
    <row r="62" spans="2:14" s="109" customFormat="1" ht="15" customHeight="1" outlineLevel="1" thickBot="1">
      <c r="B62" s="1165"/>
      <c r="C62" s="1166"/>
      <c r="D62" s="395" t="s">
        <v>404</v>
      </c>
      <c r="E62" s="396" t="s">
        <v>88</v>
      </c>
      <c r="F62" s="468"/>
      <c r="G62" s="397"/>
      <c r="H62" s="397"/>
      <c r="I62" s="398"/>
      <c r="J62" s="398"/>
      <c r="K62" s="399">
        <f>+J62</f>
        <v>0</v>
      </c>
      <c r="L62" s="1262"/>
      <c r="N62" s="228"/>
    </row>
    <row r="63" spans="2:14" s="109" customFormat="1" ht="16" thickBot="1">
      <c r="B63" s="442">
        <v>1.6</v>
      </c>
      <c r="C63" s="1167" t="s">
        <v>18</v>
      </c>
      <c r="D63" s="1167"/>
      <c r="E63" s="1167"/>
      <c r="F63" s="464"/>
      <c r="G63" s="444"/>
      <c r="H63" s="444"/>
      <c r="I63" s="444"/>
      <c r="J63" s="444"/>
      <c r="K63" s="445"/>
      <c r="L63" s="455"/>
      <c r="N63" s="228"/>
    </row>
    <row r="64" spans="2:14" s="109" customFormat="1" ht="15" customHeight="1" outlineLevel="1">
      <c r="B64" s="1162" t="s">
        <v>527</v>
      </c>
      <c r="C64" s="1163"/>
      <c r="D64" s="400" t="s">
        <v>405</v>
      </c>
      <c r="E64" s="401" t="s">
        <v>88</v>
      </c>
      <c r="F64" s="469"/>
      <c r="G64" s="402"/>
      <c r="H64" s="402"/>
      <c r="I64" s="403"/>
      <c r="J64" s="403"/>
      <c r="K64" s="461"/>
      <c r="L64" s="1260">
        <f>+SUM(K64:K66)</f>
        <v>0</v>
      </c>
      <c r="N64" s="228"/>
    </row>
    <row r="65" spans="2:14" s="109" customFormat="1" ht="15" customHeight="1" outlineLevel="1">
      <c r="B65" s="1164"/>
      <c r="C65" s="1160"/>
      <c r="D65" s="373" t="s">
        <v>406</v>
      </c>
      <c r="E65" s="374" t="s">
        <v>88</v>
      </c>
      <c r="F65" s="467"/>
      <c r="G65" s="375"/>
      <c r="H65" s="375"/>
      <c r="I65" s="376"/>
      <c r="J65" s="376"/>
      <c r="K65" s="415"/>
      <c r="L65" s="1261"/>
      <c r="N65" s="228"/>
    </row>
    <row r="66" spans="2:14" s="109" customFormat="1" ht="15" customHeight="1" outlineLevel="1" thickBot="1">
      <c r="B66" s="1165"/>
      <c r="C66" s="1166"/>
      <c r="D66" s="395" t="s">
        <v>407</v>
      </c>
      <c r="E66" s="396" t="s">
        <v>88</v>
      </c>
      <c r="F66" s="468"/>
      <c r="G66" s="397"/>
      <c r="H66" s="397"/>
      <c r="I66" s="398"/>
      <c r="J66" s="398"/>
      <c r="K66" s="424"/>
      <c r="L66" s="1262"/>
      <c r="N66" s="228"/>
    </row>
    <row r="67" spans="2:14" s="109" customFormat="1" ht="16" thickBot="1">
      <c r="B67" s="442">
        <v>1.7</v>
      </c>
      <c r="C67" s="1167" t="s">
        <v>33</v>
      </c>
      <c r="D67" s="1167"/>
      <c r="E67" s="1167"/>
      <c r="F67" s="464"/>
      <c r="G67" s="444"/>
      <c r="H67" s="444"/>
      <c r="I67" s="444"/>
      <c r="J67" s="444"/>
      <c r="K67" s="445"/>
      <c r="L67" s="455"/>
      <c r="N67" s="228"/>
    </row>
    <row r="68" spans="2:14" s="109" customFormat="1" ht="15" customHeight="1" outlineLevel="1">
      <c r="B68" s="1162" t="s">
        <v>528</v>
      </c>
      <c r="C68" s="1163"/>
      <c r="D68" s="400" t="s">
        <v>408</v>
      </c>
      <c r="E68" s="401" t="s">
        <v>88</v>
      </c>
      <c r="F68" s="469"/>
      <c r="G68" s="402"/>
      <c r="H68" s="402"/>
      <c r="I68" s="403"/>
      <c r="J68" s="403"/>
      <c r="K68" s="404"/>
      <c r="L68" s="1260">
        <f>+K70</f>
        <v>19000</v>
      </c>
      <c r="N68" s="228"/>
    </row>
    <row r="69" spans="2:14" s="109" customFormat="1" ht="15" customHeight="1" outlineLevel="1">
      <c r="B69" s="1164"/>
      <c r="C69" s="1160"/>
      <c r="D69" s="373" t="s">
        <v>409</v>
      </c>
      <c r="E69" s="374" t="s">
        <v>88</v>
      </c>
      <c r="F69" s="467"/>
      <c r="G69" s="375"/>
      <c r="H69" s="375"/>
      <c r="I69" s="376"/>
      <c r="J69" s="376"/>
      <c r="K69" s="377"/>
      <c r="L69" s="1261"/>
      <c r="N69" s="228"/>
    </row>
    <row r="70" spans="2:14" s="109" customFormat="1" ht="15" customHeight="1" outlineLevel="1">
      <c r="B70" s="1164"/>
      <c r="C70" s="1160"/>
      <c r="D70" s="1249" t="s">
        <v>410</v>
      </c>
      <c r="E70" s="370" t="s">
        <v>353</v>
      </c>
      <c r="F70" s="476">
        <f>1.6*2000</f>
        <v>3200</v>
      </c>
      <c r="G70" s="371"/>
      <c r="H70" s="371"/>
      <c r="I70" s="372"/>
      <c r="J70" s="372"/>
      <c r="K70" s="1220">
        <f>+SUM(J70:J74)</f>
        <v>19000</v>
      </c>
      <c r="L70" s="1261"/>
      <c r="N70" s="228"/>
    </row>
    <row r="71" spans="2:14" s="109" customFormat="1" ht="15" customHeight="1" outlineLevel="1">
      <c r="B71" s="1164"/>
      <c r="C71" s="1160"/>
      <c r="D71" s="1249"/>
      <c r="E71" s="417" t="s">
        <v>696</v>
      </c>
      <c r="F71" s="466" t="s">
        <v>497</v>
      </c>
      <c r="G71" s="371">
        <v>1</v>
      </c>
      <c r="H71" s="371" t="s">
        <v>364</v>
      </c>
      <c r="I71" s="372">
        <f>+VLOOKUP(E71,'Line items'!$B$3:$D$120,3,FALSE)</f>
        <v>19000</v>
      </c>
      <c r="J71" s="372">
        <f t="shared" ref="J71:J74" si="7">+I71*G71</f>
        <v>19000</v>
      </c>
      <c r="K71" s="1220"/>
      <c r="L71" s="1261"/>
      <c r="N71" s="228"/>
    </row>
    <row r="72" spans="2:14" s="109" customFormat="1" ht="15" customHeight="1" outlineLevel="1">
      <c r="B72" s="1164"/>
      <c r="C72" s="1160"/>
      <c r="D72" s="1249"/>
      <c r="E72" s="417" t="s">
        <v>697</v>
      </c>
      <c r="F72" s="466"/>
      <c r="G72" s="371"/>
      <c r="H72" s="371" t="s">
        <v>364</v>
      </c>
      <c r="I72" s="372">
        <f>+VLOOKUP(E72,'Line items'!$B$3:$D$120,3,FALSE)</f>
        <v>15130</v>
      </c>
      <c r="J72" s="372">
        <f t="shared" si="7"/>
        <v>0</v>
      </c>
      <c r="K72" s="1220"/>
      <c r="L72" s="1261"/>
      <c r="N72" s="228"/>
    </row>
    <row r="73" spans="2:14" s="109" customFormat="1" ht="15" customHeight="1" outlineLevel="1">
      <c r="B73" s="1164"/>
      <c r="C73" s="1160"/>
      <c r="D73" s="1249"/>
      <c r="E73" s="370" t="s">
        <v>698</v>
      </c>
      <c r="F73" s="466"/>
      <c r="G73" s="371"/>
      <c r="H73" s="371" t="s">
        <v>364</v>
      </c>
      <c r="I73" s="372">
        <f>+VLOOKUP(E73,'Line items'!$B$3:$D$120,3,FALSE)</f>
        <v>44380</v>
      </c>
      <c r="J73" s="372">
        <f t="shared" si="7"/>
        <v>0</v>
      </c>
      <c r="K73" s="1220"/>
      <c r="L73" s="1261"/>
      <c r="N73" s="228"/>
    </row>
    <row r="74" spans="2:14" s="109" customFormat="1" ht="15" customHeight="1" outlineLevel="1" thickBot="1">
      <c r="B74" s="1165"/>
      <c r="C74" s="1166"/>
      <c r="D74" s="1250"/>
      <c r="E74" s="439" t="s">
        <v>699</v>
      </c>
      <c r="F74" s="477"/>
      <c r="G74" s="440"/>
      <c r="H74" s="440" t="s">
        <v>364</v>
      </c>
      <c r="I74" s="408">
        <f>+VLOOKUP(E74,'Line items'!$B$3:$D$120,3,FALSE)</f>
        <v>44380</v>
      </c>
      <c r="J74" s="408">
        <f t="shared" si="7"/>
        <v>0</v>
      </c>
      <c r="K74" s="1232"/>
      <c r="L74" s="1262"/>
      <c r="N74" s="228"/>
    </row>
    <row r="75" spans="2:14" s="109" customFormat="1" ht="15" customHeight="1" outlineLevel="1">
      <c r="B75" s="1162" t="s">
        <v>529</v>
      </c>
      <c r="C75" s="1163"/>
      <c r="D75" s="400" t="s">
        <v>411</v>
      </c>
      <c r="E75" s="401" t="s">
        <v>88</v>
      </c>
      <c r="F75" s="469"/>
      <c r="G75" s="402"/>
      <c r="H75" s="402"/>
      <c r="I75" s="403"/>
      <c r="J75" s="403"/>
      <c r="K75" s="404"/>
      <c r="L75" s="1260">
        <f>+K77</f>
        <v>19000</v>
      </c>
      <c r="N75" s="228"/>
    </row>
    <row r="76" spans="2:14" s="109" customFormat="1" ht="15" customHeight="1" outlineLevel="1">
      <c r="B76" s="1164"/>
      <c r="C76" s="1160"/>
      <c r="D76" s="373" t="s">
        <v>412</v>
      </c>
      <c r="E76" s="374" t="s">
        <v>88</v>
      </c>
      <c r="F76" s="467"/>
      <c r="G76" s="375"/>
      <c r="H76" s="375"/>
      <c r="I76" s="376"/>
      <c r="J76" s="376"/>
      <c r="K76" s="377"/>
      <c r="L76" s="1261"/>
      <c r="N76" s="228"/>
    </row>
    <row r="77" spans="2:14" s="109" customFormat="1" ht="15" customHeight="1" outlineLevel="1">
      <c r="B77" s="1164"/>
      <c r="C77" s="1160"/>
      <c r="D77" s="1249" t="s">
        <v>413</v>
      </c>
      <c r="E77" s="374" t="s">
        <v>353</v>
      </c>
      <c r="F77" s="478"/>
      <c r="G77" s="375"/>
      <c r="H77" s="375"/>
      <c r="I77" s="376"/>
      <c r="J77" s="376"/>
      <c r="K77" s="1218">
        <f>+SUM(J77:J81)</f>
        <v>19000</v>
      </c>
      <c r="L77" s="1261"/>
      <c r="N77" s="228"/>
    </row>
    <row r="78" spans="2:14" s="109" customFormat="1" ht="15" customHeight="1" outlineLevel="1">
      <c r="B78" s="1164"/>
      <c r="C78" s="1160"/>
      <c r="D78" s="1249"/>
      <c r="E78" s="456" t="s">
        <v>696</v>
      </c>
      <c r="F78" s="467" t="s">
        <v>497</v>
      </c>
      <c r="G78" s="375">
        <v>1</v>
      </c>
      <c r="H78" s="375" t="s">
        <v>364</v>
      </c>
      <c r="I78" s="372">
        <f>+VLOOKUP(E78,'Line items'!$B$3:$D$120,3,FALSE)</f>
        <v>19000</v>
      </c>
      <c r="J78" s="376">
        <f t="shared" ref="J78:J81" si="8">+I78*G78</f>
        <v>19000</v>
      </c>
      <c r="K78" s="1218"/>
      <c r="L78" s="1261"/>
      <c r="N78" s="228"/>
    </row>
    <row r="79" spans="2:14" s="109" customFormat="1" ht="15" customHeight="1" outlineLevel="1">
      <c r="B79" s="1164"/>
      <c r="C79" s="1160"/>
      <c r="D79" s="1249"/>
      <c r="E79" s="456" t="s">
        <v>697</v>
      </c>
      <c r="F79" s="467"/>
      <c r="G79" s="375"/>
      <c r="H79" s="375" t="s">
        <v>364</v>
      </c>
      <c r="I79" s="372">
        <f>+VLOOKUP(E79,'Line items'!$B$3:$D$120,3,FALSE)</f>
        <v>15130</v>
      </c>
      <c r="J79" s="376">
        <f t="shared" si="8"/>
        <v>0</v>
      </c>
      <c r="K79" s="1218"/>
      <c r="L79" s="1261"/>
      <c r="N79" s="228"/>
    </row>
    <row r="80" spans="2:14" s="109" customFormat="1" ht="15" customHeight="1" outlineLevel="1">
      <c r="B80" s="1164"/>
      <c r="C80" s="1160"/>
      <c r="D80" s="1249"/>
      <c r="E80" s="374" t="s">
        <v>698</v>
      </c>
      <c r="F80" s="467"/>
      <c r="G80" s="375"/>
      <c r="H80" s="375" t="s">
        <v>364</v>
      </c>
      <c r="I80" s="372">
        <f>+VLOOKUP(E80,'Line items'!$B$3:$D$120,3,FALSE)</f>
        <v>44380</v>
      </c>
      <c r="J80" s="376">
        <f t="shared" si="8"/>
        <v>0</v>
      </c>
      <c r="K80" s="1218"/>
      <c r="L80" s="1261"/>
      <c r="N80" s="228"/>
    </row>
    <row r="81" spans="2:14" s="109" customFormat="1" ht="15" customHeight="1" outlineLevel="1" thickBot="1">
      <c r="B81" s="1165"/>
      <c r="C81" s="1166"/>
      <c r="D81" s="1250"/>
      <c r="E81" s="396" t="s">
        <v>699</v>
      </c>
      <c r="F81" s="468"/>
      <c r="G81" s="397"/>
      <c r="H81" s="397" t="s">
        <v>364</v>
      </c>
      <c r="I81" s="408">
        <f>+VLOOKUP(E81,'Line items'!$B$3:$D$120,3,FALSE)</f>
        <v>44380</v>
      </c>
      <c r="J81" s="398">
        <f t="shared" si="8"/>
        <v>0</v>
      </c>
      <c r="K81" s="1223"/>
      <c r="L81" s="1262"/>
      <c r="N81" s="228"/>
    </row>
    <row r="82" spans="2:14" s="109" customFormat="1" ht="15" customHeight="1" outlineLevel="1">
      <c r="B82" s="1162" t="s">
        <v>530</v>
      </c>
      <c r="C82" s="1163"/>
      <c r="D82" s="400" t="s">
        <v>414</v>
      </c>
      <c r="E82" s="401" t="s">
        <v>88</v>
      </c>
      <c r="F82" s="469"/>
      <c r="G82" s="402"/>
      <c r="H82" s="402"/>
      <c r="I82" s="403"/>
      <c r="J82" s="403"/>
      <c r="K82" s="404"/>
      <c r="L82" s="1260">
        <f>+K84</f>
        <v>19000</v>
      </c>
      <c r="N82" s="228"/>
    </row>
    <row r="83" spans="2:14" s="109" customFormat="1" ht="15" customHeight="1" outlineLevel="1">
      <c r="B83" s="1164"/>
      <c r="C83" s="1160"/>
      <c r="D83" s="373" t="s">
        <v>415</v>
      </c>
      <c r="E83" s="374" t="s">
        <v>88</v>
      </c>
      <c r="F83" s="467"/>
      <c r="G83" s="375"/>
      <c r="H83" s="375"/>
      <c r="I83" s="376"/>
      <c r="J83" s="376"/>
      <c r="K83" s="377"/>
      <c r="L83" s="1261"/>
      <c r="N83" s="228"/>
    </row>
    <row r="84" spans="2:14" s="109" customFormat="1" ht="15" customHeight="1" outlineLevel="1">
      <c r="B84" s="1164"/>
      <c r="C84" s="1160"/>
      <c r="D84" s="1249" t="s">
        <v>416</v>
      </c>
      <c r="E84" s="374" t="s">
        <v>353</v>
      </c>
      <c r="F84" s="478"/>
      <c r="G84" s="375"/>
      <c r="H84" s="375"/>
      <c r="I84" s="376"/>
      <c r="J84" s="376"/>
      <c r="K84" s="1218">
        <f>+SUM(J84:J88)</f>
        <v>19000</v>
      </c>
      <c r="L84" s="1261"/>
      <c r="N84" s="228"/>
    </row>
    <row r="85" spans="2:14" s="109" customFormat="1" ht="15" customHeight="1" outlineLevel="1">
      <c r="B85" s="1164"/>
      <c r="C85" s="1160"/>
      <c r="D85" s="1249"/>
      <c r="E85" s="456" t="s">
        <v>696</v>
      </c>
      <c r="F85" s="467" t="s">
        <v>497</v>
      </c>
      <c r="G85" s="375">
        <v>1</v>
      </c>
      <c r="H85" s="375" t="s">
        <v>364</v>
      </c>
      <c r="I85" s="372">
        <f>+VLOOKUP(E85,'Line items'!$B$3:$D$120,3,FALSE)</f>
        <v>19000</v>
      </c>
      <c r="J85" s="376">
        <f t="shared" ref="J85:J88" si="9">+I85*G85</f>
        <v>19000</v>
      </c>
      <c r="K85" s="1218"/>
      <c r="L85" s="1261"/>
      <c r="N85" s="228"/>
    </row>
    <row r="86" spans="2:14" s="109" customFormat="1" ht="15" customHeight="1" outlineLevel="1">
      <c r="B86" s="1164"/>
      <c r="C86" s="1160"/>
      <c r="D86" s="1249"/>
      <c r="E86" s="456" t="s">
        <v>697</v>
      </c>
      <c r="F86" s="467"/>
      <c r="G86" s="375"/>
      <c r="H86" s="375" t="s">
        <v>364</v>
      </c>
      <c r="I86" s="372">
        <f>+VLOOKUP(E86,'Line items'!$B$3:$D$120,3,FALSE)</f>
        <v>15130</v>
      </c>
      <c r="J86" s="376">
        <f t="shared" si="9"/>
        <v>0</v>
      </c>
      <c r="K86" s="1218"/>
      <c r="L86" s="1261"/>
      <c r="N86" s="228"/>
    </row>
    <row r="87" spans="2:14" s="109" customFormat="1" ht="15" customHeight="1" outlineLevel="1">
      <c r="B87" s="1164"/>
      <c r="C87" s="1160"/>
      <c r="D87" s="1249"/>
      <c r="E87" s="374" t="s">
        <v>698</v>
      </c>
      <c r="F87" s="467"/>
      <c r="G87" s="375"/>
      <c r="H87" s="375" t="s">
        <v>364</v>
      </c>
      <c r="I87" s="372">
        <f>+VLOOKUP(E87,'Line items'!$B$3:$D$120,3,FALSE)</f>
        <v>44380</v>
      </c>
      <c r="J87" s="376">
        <f t="shared" si="9"/>
        <v>0</v>
      </c>
      <c r="K87" s="1218"/>
      <c r="L87" s="1261"/>
      <c r="N87" s="228"/>
    </row>
    <row r="88" spans="2:14" s="109" customFormat="1" ht="15" customHeight="1" outlineLevel="1" thickBot="1">
      <c r="B88" s="1165"/>
      <c r="C88" s="1166"/>
      <c r="D88" s="1250"/>
      <c r="E88" s="396" t="s">
        <v>699</v>
      </c>
      <c r="F88" s="468"/>
      <c r="G88" s="397"/>
      <c r="H88" s="397" t="s">
        <v>364</v>
      </c>
      <c r="I88" s="408">
        <f>+VLOOKUP(E88,'Line items'!$B$3:$D$120,3,FALSE)</f>
        <v>44380</v>
      </c>
      <c r="J88" s="398">
        <f t="shared" si="9"/>
        <v>0</v>
      </c>
      <c r="K88" s="1223"/>
      <c r="L88" s="1262"/>
      <c r="N88" s="228"/>
    </row>
    <row r="89" spans="2:14" s="109" customFormat="1" ht="15" customHeight="1" outlineLevel="1">
      <c r="B89" s="1162" t="s">
        <v>531</v>
      </c>
      <c r="C89" s="1163"/>
      <c r="D89" s="400" t="s">
        <v>417</v>
      </c>
      <c r="E89" s="401" t="s">
        <v>88</v>
      </c>
      <c r="F89" s="469"/>
      <c r="G89" s="402"/>
      <c r="H89" s="402"/>
      <c r="I89" s="403"/>
      <c r="J89" s="403"/>
      <c r="K89" s="404"/>
      <c r="L89" s="1260">
        <f>+K91</f>
        <v>19000</v>
      </c>
      <c r="N89" s="228"/>
    </row>
    <row r="90" spans="2:14" s="109" customFormat="1" ht="15" customHeight="1" outlineLevel="1">
      <c r="B90" s="1164"/>
      <c r="C90" s="1160"/>
      <c r="D90" s="373" t="s">
        <v>418</v>
      </c>
      <c r="E90" s="374" t="s">
        <v>88</v>
      </c>
      <c r="F90" s="467"/>
      <c r="G90" s="375"/>
      <c r="H90" s="375"/>
      <c r="I90" s="376"/>
      <c r="J90" s="376"/>
      <c r="K90" s="377"/>
      <c r="L90" s="1261"/>
      <c r="N90" s="228"/>
    </row>
    <row r="91" spans="2:14" s="109" customFormat="1" ht="15" customHeight="1" outlineLevel="1">
      <c r="B91" s="1164"/>
      <c r="C91" s="1160"/>
      <c r="D91" s="1249" t="s">
        <v>419</v>
      </c>
      <c r="E91" s="374" t="s">
        <v>353</v>
      </c>
      <c r="F91" s="478"/>
      <c r="G91" s="375"/>
      <c r="H91" s="375"/>
      <c r="I91" s="376"/>
      <c r="J91" s="376"/>
      <c r="K91" s="1218">
        <f>+SUM(J91:J95)</f>
        <v>19000</v>
      </c>
      <c r="L91" s="1261"/>
      <c r="N91" s="228"/>
    </row>
    <row r="92" spans="2:14" s="109" customFormat="1" ht="15" customHeight="1" outlineLevel="1">
      <c r="B92" s="1164"/>
      <c r="C92" s="1160"/>
      <c r="D92" s="1249"/>
      <c r="E92" s="456" t="s">
        <v>696</v>
      </c>
      <c r="F92" s="467" t="s">
        <v>497</v>
      </c>
      <c r="G92" s="375">
        <v>1</v>
      </c>
      <c r="H92" s="375" t="s">
        <v>364</v>
      </c>
      <c r="I92" s="372">
        <f>+VLOOKUP(E92,'Line items'!$B$3:$D$120,3,FALSE)</f>
        <v>19000</v>
      </c>
      <c r="J92" s="376">
        <f t="shared" ref="J92:J95" si="10">+I92*G92</f>
        <v>19000</v>
      </c>
      <c r="K92" s="1218"/>
      <c r="L92" s="1261"/>
      <c r="N92" s="228"/>
    </row>
    <row r="93" spans="2:14" s="109" customFormat="1" ht="15" customHeight="1" outlineLevel="1">
      <c r="B93" s="1164"/>
      <c r="C93" s="1160"/>
      <c r="D93" s="1249"/>
      <c r="E93" s="456" t="s">
        <v>697</v>
      </c>
      <c r="F93" s="467"/>
      <c r="G93" s="375"/>
      <c r="H93" s="375" t="s">
        <v>364</v>
      </c>
      <c r="I93" s="372">
        <f>+VLOOKUP(E93,'Line items'!$B$3:$D$120,3,FALSE)</f>
        <v>15130</v>
      </c>
      <c r="J93" s="376">
        <f t="shared" si="10"/>
        <v>0</v>
      </c>
      <c r="K93" s="1218"/>
      <c r="L93" s="1261"/>
      <c r="N93" s="228"/>
    </row>
    <row r="94" spans="2:14" s="109" customFormat="1" ht="15" customHeight="1" outlineLevel="1">
      <c r="B94" s="1164"/>
      <c r="C94" s="1160"/>
      <c r="D94" s="1249"/>
      <c r="E94" s="374" t="s">
        <v>698</v>
      </c>
      <c r="F94" s="467"/>
      <c r="G94" s="375"/>
      <c r="H94" s="375" t="s">
        <v>364</v>
      </c>
      <c r="I94" s="372">
        <f>+VLOOKUP(E94,'Line items'!$B$3:$D$120,3,FALSE)</f>
        <v>44380</v>
      </c>
      <c r="J94" s="376">
        <f t="shared" si="10"/>
        <v>0</v>
      </c>
      <c r="K94" s="1218"/>
      <c r="L94" s="1261"/>
      <c r="N94" s="228"/>
    </row>
    <row r="95" spans="2:14" s="109" customFormat="1" ht="15" customHeight="1" outlineLevel="1" thickBot="1">
      <c r="B95" s="1165"/>
      <c r="C95" s="1166"/>
      <c r="D95" s="1250"/>
      <c r="E95" s="396" t="s">
        <v>699</v>
      </c>
      <c r="F95" s="468"/>
      <c r="G95" s="397"/>
      <c r="H95" s="397" t="s">
        <v>364</v>
      </c>
      <c r="I95" s="408">
        <f>+VLOOKUP(E95,'Line items'!$B$3:$D$120,3,FALSE)</f>
        <v>44380</v>
      </c>
      <c r="J95" s="398">
        <f t="shared" si="10"/>
        <v>0</v>
      </c>
      <c r="K95" s="1223"/>
      <c r="L95" s="1262"/>
      <c r="N95" s="228"/>
    </row>
    <row r="96" spans="2:14" s="109" customFormat="1" ht="16" thickBot="1">
      <c r="B96" s="442">
        <v>1.8</v>
      </c>
      <c r="C96" s="1167" t="s">
        <v>22</v>
      </c>
      <c r="D96" s="1167"/>
      <c r="E96" s="1167"/>
      <c r="F96" s="464"/>
      <c r="G96" s="444"/>
      <c r="H96" s="444"/>
      <c r="I96" s="444"/>
      <c r="J96" s="444"/>
      <c r="K96" s="445"/>
      <c r="L96" s="455"/>
      <c r="N96" s="228"/>
    </row>
    <row r="97" spans="2:14" s="109" customFormat="1" ht="15" customHeight="1" outlineLevel="1">
      <c r="B97" s="1162" t="s">
        <v>532</v>
      </c>
      <c r="C97" s="1163"/>
      <c r="D97" s="400" t="s">
        <v>420</v>
      </c>
      <c r="E97" s="392" t="s">
        <v>695</v>
      </c>
      <c r="F97" s="465"/>
      <c r="G97" s="393">
        <v>4</v>
      </c>
      <c r="H97" s="393" t="s">
        <v>364</v>
      </c>
      <c r="I97" s="394">
        <f>+VLOOKUP(E97,'Line items'!$B$3:$D$120,3,FALSE)</f>
        <v>500</v>
      </c>
      <c r="J97" s="394">
        <f>+I97*G97</f>
        <v>2000</v>
      </c>
      <c r="K97" s="423">
        <f>+J97</f>
        <v>2000</v>
      </c>
      <c r="L97" s="1260">
        <f>+SUM(K97:K99)</f>
        <v>2000</v>
      </c>
      <c r="N97" s="228"/>
    </row>
    <row r="98" spans="2:14" s="109" customFormat="1" ht="15" customHeight="1" outlineLevel="1">
      <c r="B98" s="1164"/>
      <c r="C98" s="1160"/>
      <c r="D98" s="373" t="s">
        <v>421</v>
      </c>
      <c r="E98" s="374" t="s">
        <v>88</v>
      </c>
      <c r="F98" s="467"/>
      <c r="G98" s="375"/>
      <c r="H98" s="375"/>
      <c r="I98" s="376"/>
      <c r="J98" s="376"/>
      <c r="K98" s="415"/>
      <c r="L98" s="1261"/>
      <c r="N98" s="228"/>
    </row>
    <row r="99" spans="2:14" s="109" customFormat="1" ht="15" customHeight="1" outlineLevel="1" thickBot="1">
      <c r="B99" s="1165"/>
      <c r="C99" s="1166"/>
      <c r="D99" s="395" t="s">
        <v>422</v>
      </c>
      <c r="E99" s="396" t="s">
        <v>88</v>
      </c>
      <c r="F99" s="468"/>
      <c r="G99" s="397"/>
      <c r="H99" s="397"/>
      <c r="I99" s="398"/>
      <c r="J99" s="398"/>
      <c r="K99" s="424"/>
      <c r="L99" s="1262"/>
      <c r="N99" s="228"/>
    </row>
    <row r="100" spans="2:14" s="109" customFormat="1" ht="15" customHeight="1" outlineLevel="1">
      <c r="B100" s="1162" t="s">
        <v>533</v>
      </c>
      <c r="C100" s="1163"/>
      <c r="D100" s="1248" t="s">
        <v>423</v>
      </c>
      <c r="E100" s="401" t="s">
        <v>88</v>
      </c>
      <c r="F100" s="469"/>
      <c r="G100" s="402"/>
      <c r="H100" s="402"/>
      <c r="I100" s="403"/>
      <c r="J100" s="403"/>
      <c r="K100" s="461"/>
      <c r="L100" s="1260">
        <f>+SUM(K100:K103)</f>
        <v>0</v>
      </c>
      <c r="N100" s="228"/>
    </row>
    <row r="101" spans="2:14" s="109" customFormat="1" ht="15" customHeight="1" outlineLevel="1">
      <c r="B101" s="1164"/>
      <c r="C101" s="1160"/>
      <c r="D101" s="1249"/>
      <c r="E101" s="374" t="s">
        <v>88</v>
      </c>
      <c r="F101" s="467"/>
      <c r="G101" s="375"/>
      <c r="H101" s="375"/>
      <c r="I101" s="376"/>
      <c r="J101" s="376"/>
      <c r="K101" s="415"/>
      <c r="L101" s="1261"/>
      <c r="N101" s="228"/>
    </row>
    <row r="102" spans="2:14" s="109" customFormat="1" ht="15" customHeight="1" outlineLevel="1">
      <c r="B102" s="1164"/>
      <c r="C102" s="1160"/>
      <c r="D102" s="373" t="s">
        <v>424</v>
      </c>
      <c r="E102" s="374" t="s">
        <v>88</v>
      </c>
      <c r="F102" s="467"/>
      <c r="G102" s="375"/>
      <c r="H102" s="375"/>
      <c r="I102" s="376"/>
      <c r="J102" s="376"/>
      <c r="K102" s="415"/>
      <c r="L102" s="1261"/>
      <c r="N102" s="228"/>
    </row>
    <row r="103" spans="2:14" s="109" customFormat="1" ht="15" customHeight="1" outlineLevel="1" thickBot="1">
      <c r="B103" s="1172"/>
      <c r="C103" s="1161"/>
      <c r="D103" s="381" t="s">
        <v>425</v>
      </c>
      <c r="E103" s="382" t="s">
        <v>88</v>
      </c>
      <c r="F103" s="470"/>
      <c r="G103" s="383"/>
      <c r="H103" s="383"/>
      <c r="I103" s="384"/>
      <c r="J103" s="384"/>
      <c r="K103" s="418"/>
      <c r="L103" s="1263"/>
      <c r="N103" s="228"/>
    </row>
    <row r="104" spans="2:14" s="109" customFormat="1" ht="16" thickBot="1">
      <c r="B104" s="490">
        <v>2</v>
      </c>
      <c r="C104" s="491" t="s">
        <v>316</v>
      </c>
      <c r="D104" s="492"/>
      <c r="E104" s="493"/>
      <c r="F104" s="494"/>
      <c r="G104" s="495"/>
      <c r="H104" s="495"/>
      <c r="I104" s="496"/>
      <c r="J104" s="496"/>
      <c r="K104" s="497"/>
      <c r="L104" s="498"/>
      <c r="N104" s="228"/>
    </row>
    <row r="105" spans="2:14" s="109" customFormat="1" ht="16" thickBot="1">
      <c r="B105" s="499">
        <v>2.1</v>
      </c>
      <c r="C105" s="1210" t="s">
        <v>34</v>
      </c>
      <c r="D105" s="1210"/>
      <c r="E105" s="1210"/>
      <c r="F105" s="500"/>
      <c r="G105" s="501"/>
      <c r="H105" s="501"/>
      <c r="I105" s="502"/>
      <c r="J105" s="502"/>
      <c r="K105" s="503"/>
      <c r="L105" s="504"/>
      <c r="N105" s="228"/>
    </row>
    <row r="106" spans="2:14" s="109" customFormat="1" ht="15" customHeight="1" outlineLevel="1">
      <c r="B106" s="1162" t="s">
        <v>534</v>
      </c>
      <c r="C106" s="1163"/>
      <c r="D106" s="1246" t="s">
        <v>427</v>
      </c>
      <c r="E106" s="401" t="s">
        <v>344</v>
      </c>
      <c r="F106" s="469"/>
      <c r="G106" s="402"/>
      <c r="H106" s="402"/>
      <c r="I106" s="403"/>
      <c r="J106" s="403"/>
      <c r="K106" s="1217">
        <f>+SUM(J106:J108)</f>
        <v>3300</v>
      </c>
      <c r="L106" s="1260">
        <f>+SUM(K106:K110)</f>
        <v>4300</v>
      </c>
      <c r="N106" s="228"/>
    </row>
    <row r="107" spans="2:14" s="109" customFormat="1" ht="15" customHeight="1" outlineLevel="1">
      <c r="B107" s="1164"/>
      <c r="C107" s="1160"/>
      <c r="D107" s="1247"/>
      <c r="E107" s="370" t="s">
        <v>708</v>
      </c>
      <c r="F107" s="467"/>
      <c r="G107" s="375">
        <v>1</v>
      </c>
      <c r="H107" s="375" t="s">
        <v>364</v>
      </c>
      <c r="I107" s="372">
        <f>+VLOOKUP(E107,'Line items'!$B$3:$D$120,3,FALSE)</f>
        <v>1550</v>
      </c>
      <c r="J107" s="376">
        <f t="shared" ref="J107:J108" si="11">+I107*G107</f>
        <v>1550</v>
      </c>
      <c r="K107" s="1218"/>
      <c r="L107" s="1261"/>
      <c r="N107" s="228"/>
    </row>
    <row r="108" spans="2:14" s="109" customFormat="1" ht="15" customHeight="1" outlineLevel="1">
      <c r="B108" s="1164"/>
      <c r="C108" s="1160"/>
      <c r="D108" s="1247"/>
      <c r="E108" s="370" t="s">
        <v>709</v>
      </c>
      <c r="F108" s="467"/>
      <c r="G108" s="375">
        <v>1</v>
      </c>
      <c r="H108" s="375" t="s">
        <v>364</v>
      </c>
      <c r="I108" s="372">
        <f>+VLOOKUP(E108,'Line items'!$B$3:$D$120,3,FALSE)</f>
        <v>1750</v>
      </c>
      <c r="J108" s="376">
        <f t="shared" si="11"/>
        <v>1750</v>
      </c>
      <c r="K108" s="1218"/>
      <c r="L108" s="1261"/>
      <c r="N108" s="228"/>
    </row>
    <row r="109" spans="2:14" s="109" customFormat="1" ht="15" customHeight="1" outlineLevel="1">
      <c r="B109" s="1164"/>
      <c r="C109" s="1160"/>
      <c r="D109" s="380" t="s">
        <v>428</v>
      </c>
      <c r="E109" s="374" t="s">
        <v>88</v>
      </c>
      <c r="F109" s="467"/>
      <c r="G109" s="375"/>
      <c r="H109" s="375"/>
      <c r="I109" s="376"/>
      <c r="J109" s="376"/>
      <c r="K109" s="415"/>
      <c r="L109" s="1261"/>
      <c r="N109" s="228"/>
    </row>
    <row r="110" spans="2:14" s="109" customFormat="1" ht="15" customHeight="1" outlineLevel="1" thickBot="1">
      <c r="B110" s="1165"/>
      <c r="C110" s="1166"/>
      <c r="D110" s="407" t="s">
        <v>429</v>
      </c>
      <c r="E110" s="396" t="s">
        <v>191</v>
      </c>
      <c r="F110" s="468"/>
      <c r="G110" s="397">
        <v>100</v>
      </c>
      <c r="H110" s="397" t="s">
        <v>360</v>
      </c>
      <c r="I110" s="408">
        <f>+VLOOKUP(E110,'Line items'!$B$3:$D$120,3,FALSE)</f>
        <v>10</v>
      </c>
      <c r="J110" s="398">
        <f t="shared" ref="J110:J113" si="12">+I110*G110</f>
        <v>1000</v>
      </c>
      <c r="K110" s="399">
        <f>+J110</f>
        <v>1000</v>
      </c>
      <c r="L110" s="1262"/>
      <c r="N110" s="228"/>
    </row>
    <row r="111" spans="2:14" s="109" customFormat="1" ht="15" customHeight="1" outlineLevel="1">
      <c r="B111" s="1162" t="s">
        <v>535</v>
      </c>
      <c r="C111" s="1163"/>
      <c r="D111" s="1246" t="s">
        <v>430</v>
      </c>
      <c r="E111" s="401" t="s">
        <v>345</v>
      </c>
      <c r="F111" s="469" t="s">
        <v>318</v>
      </c>
      <c r="G111" s="402">
        <v>100</v>
      </c>
      <c r="H111" s="402" t="s">
        <v>360</v>
      </c>
      <c r="I111" s="394">
        <f>+VLOOKUP(E111,'Line items'!$B$3:$D$120,3,FALSE)</f>
        <v>50</v>
      </c>
      <c r="J111" s="403">
        <f t="shared" si="12"/>
        <v>5000</v>
      </c>
      <c r="K111" s="1217">
        <f>+SUM(J111:J113)</f>
        <v>7450</v>
      </c>
      <c r="L111" s="1260">
        <f>+SUM(K111:K115)</f>
        <v>8450</v>
      </c>
      <c r="N111" s="228"/>
    </row>
    <row r="112" spans="2:14" s="109" customFormat="1" ht="15" customHeight="1" outlineLevel="1">
      <c r="B112" s="1164"/>
      <c r="C112" s="1160"/>
      <c r="D112" s="1247"/>
      <c r="E112" s="370" t="s">
        <v>709</v>
      </c>
      <c r="F112" s="467"/>
      <c r="G112" s="375">
        <v>1</v>
      </c>
      <c r="H112" s="375" t="s">
        <v>364</v>
      </c>
      <c r="I112" s="372">
        <f>+VLOOKUP(E112,'Line items'!$B$3:$D$120,3,FALSE)</f>
        <v>1750</v>
      </c>
      <c r="J112" s="376">
        <f t="shared" si="12"/>
        <v>1750</v>
      </c>
      <c r="K112" s="1218"/>
      <c r="L112" s="1261"/>
      <c r="N112" s="228"/>
    </row>
    <row r="113" spans="2:14" s="109" customFormat="1" ht="15" customHeight="1" outlineLevel="1">
      <c r="B113" s="1164"/>
      <c r="C113" s="1160"/>
      <c r="D113" s="1247"/>
      <c r="E113" s="374" t="s">
        <v>705</v>
      </c>
      <c r="F113" s="467"/>
      <c r="G113" s="375">
        <v>1</v>
      </c>
      <c r="H113" s="375" t="s">
        <v>364</v>
      </c>
      <c r="I113" s="372">
        <f>+VLOOKUP(E113,'Line items'!$B$3:$D$120,3,FALSE)</f>
        <v>700</v>
      </c>
      <c r="J113" s="376">
        <f t="shared" si="12"/>
        <v>700</v>
      </c>
      <c r="K113" s="1218"/>
      <c r="L113" s="1261"/>
      <c r="N113" s="228"/>
    </row>
    <row r="114" spans="2:14" s="109" customFormat="1" ht="15" customHeight="1" outlineLevel="1">
      <c r="B114" s="1164"/>
      <c r="C114" s="1160"/>
      <c r="D114" s="380" t="s">
        <v>431</v>
      </c>
      <c r="E114" s="374" t="s">
        <v>88</v>
      </c>
      <c r="F114" s="467"/>
      <c r="G114" s="375"/>
      <c r="H114" s="375"/>
      <c r="I114" s="376"/>
      <c r="J114" s="376"/>
      <c r="K114" s="415"/>
      <c r="L114" s="1261"/>
      <c r="N114" s="228"/>
    </row>
    <row r="115" spans="2:14" s="109" customFormat="1" ht="15" customHeight="1" outlineLevel="1" thickBot="1">
      <c r="B115" s="1165"/>
      <c r="C115" s="1166"/>
      <c r="D115" s="395" t="s">
        <v>432</v>
      </c>
      <c r="E115" s="505" t="s">
        <v>191</v>
      </c>
      <c r="F115" s="477"/>
      <c r="G115" s="440">
        <v>100</v>
      </c>
      <c r="H115" s="440" t="s">
        <v>360</v>
      </c>
      <c r="I115" s="408">
        <f>+VLOOKUP(E115,'Line items'!$B$3:$D$120,3,FALSE)</f>
        <v>10</v>
      </c>
      <c r="J115" s="408">
        <f>+I115*G115</f>
        <v>1000</v>
      </c>
      <c r="K115" s="441">
        <f>+J115</f>
        <v>1000</v>
      </c>
      <c r="L115" s="1262"/>
      <c r="N115" s="228"/>
    </row>
    <row r="116" spans="2:14" s="109" customFormat="1" ht="16" thickBot="1">
      <c r="B116" s="499">
        <v>2.2000000000000002</v>
      </c>
      <c r="C116" s="1210" t="s">
        <v>37</v>
      </c>
      <c r="D116" s="1210"/>
      <c r="E116" s="1210"/>
      <c r="F116" s="500"/>
      <c r="G116" s="501"/>
      <c r="H116" s="501"/>
      <c r="I116" s="502"/>
      <c r="J116" s="502"/>
      <c r="K116" s="503"/>
      <c r="L116" s="504"/>
      <c r="N116" s="228"/>
    </row>
    <row r="117" spans="2:14" s="109" customFormat="1" ht="15" customHeight="1" outlineLevel="1">
      <c r="B117" s="1162" t="s">
        <v>536</v>
      </c>
      <c r="C117" s="1163"/>
      <c r="D117" s="400" t="s">
        <v>433</v>
      </c>
      <c r="E117" s="401" t="s">
        <v>88</v>
      </c>
      <c r="F117" s="469"/>
      <c r="G117" s="402"/>
      <c r="H117" s="402"/>
      <c r="I117" s="403"/>
      <c r="J117" s="403"/>
      <c r="K117" s="461"/>
      <c r="L117" s="1260">
        <f>+SUM(K117:K120)</f>
        <v>300</v>
      </c>
      <c r="N117" s="228"/>
    </row>
    <row r="118" spans="2:14" s="109" customFormat="1" ht="15" customHeight="1" outlineLevel="1">
      <c r="B118" s="1164"/>
      <c r="C118" s="1160"/>
      <c r="D118" s="373" t="s">
        <v>434</v>
      </c>
      <c r="E118" s="374" t="s">
        <v>88</v>
      </c>
      <c r="F118" s="467"/>
      <c r="G118" s="375"/>
      <c r="H118" s="375"/>
      <c r="I118" s="376"/>
      <c r="J118" s="376"/>
      <c r="K118" s="415"/>
      <c r="L118" s="1261"/>
      <c r="N118" s="228"/>
    </row>
    <row r="119" spans="2:14" s="109" customFormat="1" ht="15" customHeight="1" outlineLevel="1">
      <c r="B119" s="1164"/>
      <c r="C119" s="1160"/>
      <c r="D119" s="1249" t="s">
        <v>435</v>
      </c>
      <c r="E119" s="370" t="s">
        <v>707</v>
      </c>
      <c r="F119" s="467"/>
      <c r="G119" s="375">
        <v>2</v>
      </c>
      <c r="H119" s="375" t="s">
        <v>364</v>
      </c>
      <c r="I119" s="372">
        <f>+VLOOKUP(E119,'Line items'!$B$3:$D$120,3,FALSE)</f>
        <v>150</v>
      </c>
      <c r="J119" s="376">
        <f>+I119*G119</f>
        <v>300</v>
      </c>
      <c r="K119" s="377">
        <f t="shared" ref="K119:K120" si="13">+J119</f>
        <v>300</v>
      </c>
      <c r="L119" s="1261"/>
      <c r="N119" s="228"/>
    </row>
    <row r="120" spans="2:14" s="109" customFormat="1" ht="15" customHeight="1" outlineLevel="1" thickBot="1">
      <c r="B120" s="1165"/>
      <c r="C120" s="1166"/>
      <c r="D120" s="1250"/>
      <c r="E120" s="396" t="s">
        <v>88</v>
      </c>
      <c r="F120" s="468"/>
      <c r="G120" s="397"/>
      <c r="H120" s="397"/>
      <c r="I120" s="398"/>
      <c r="J120" s="398"/>
      <c r="K120" s="399">
        <f t="shared" si="13"/>
        <v>0</v>
      </c>
      <c r="L120" s="1262"/>
      <c r="N120" s="228"/>
    </row>
    <row r="121" spans="2:14" s="109" customFormat="1" ht="15" customHeight="1" outlineLevel="1">
      <c r="B121" s="1162" t="s">
        <v>537</v>
      </c>
      <c r="C121" s="1163"/>
      <c r="D121" s="400" t="s">
        <v>436</v>
      </c>
      <c r="E121" s="401" t="s">
        <v>88</v>
      </c>
      <c r="F121" s="469"/>
      <c r="G121" s="402"/>
      <c r="H121" s="402"/>
      <c r="I121" s="403"/>
      <c r="J121" s="403"/>
      <c r="K121" s="461"/>
      <c r="L121" s="1260">
        <f>+SUM(K121:K124)</f>
        <v>10340</v>
      </c>
      <c r="N121" s="228"/>
    </row>
    <row r="122" spans="2:14" s="109" customFormat="1" ht="15" customHeight="1" outlineLevel="1">
      <c r="B122" s="1164"/>
      <c r="C122" s="1160"/>
      <c r="D122" s="373" t="s">
        <v>437</v>
      </c>
      <c r="E122" s="374" t="s">
        <v>88</v>
      </c>
      <c r="F122" s="467"/>
      <c r="G122" s="375"/>
      <c r="H122" s="375"/>
      <c r="I122" s="376"/>
      <c r="J122" s="376"/>
      <c r="K122" s="415"/>
      <c r="L122" s="1261"/>
      <c r="N122" s="228"/>
    </row>
    <row r="123" spans="2:14" s="109" customFormat="1" ht="15" customHeight="1" outlineLevel="1">
      <c r="B123" s="1164"/>
      <c r="C123" s="1160"/>
      <c r="D123" s="1249" t="s">
        <v>447</v>
      </c>
      <c r="E123" s="374" t="s">
        <v>319</v>
      </c>
      <c r="F123" s="467"/>
      <c r="G123" s="375"/>
      <c r="H123" s="375"/>
      <c r="I123" s="376"/>
      <c r="J123" s="376"/>
      <c r="K123" s="1218">
        <f>+J124</f>
        <v>10340</v>
      </c>
      <c r="L123" s="1261"/>
      <c r="N123" s="228"/>
    </row>
    <row r="124" spans="2:14" s="109" customFormat="1" ht="15" customHeight="1" outlineLevel="1" thickBot="1">
      <c r="B124" s="1165"/>
      <c r="C124" s="1166"/>
      <c r="D124" s="1250"/>
      <c r="E124" s="439" t="s">
        <v>727</v>
      </c>
      <c r="F124" s="468"/>
      <c r="G124" s="397">
        <v>1</v>
      </c>
      <c r="H124" s="397" t="s">
        <v>364</v>
      </c>
      <c r="I124" s="408">
        <f>+VLOOKUP(E124,'Line items'!$B$3:$D$120,3,FALSE)</f>
        <v>10340</v>
      </c>
      <c r="J124" s="398">
        <f>+I124*G124</f>
        <v>10340</v>
      </c>
      <c r="K124" s="1223"/>
      <c r="L124" s="1262"/>
      <c r="N124" s="228"/>
    </row>
    <row r="125" spans="2:14" s="109" customFormat="1" ht="15" customHeight="1" outlineLevel="1">
      <c r="B125" s="1162" t="s">
        <v>538</v>
      </c>
      <c r="C125" s="1163"/>
      <c r="D125" s="1248" t="s">
        <v>438</v>
      </c>
      <c r="E125" s="401"/>
      <c r="F125" s="469"/>
      <c r="G125" s="402"/>
      <c r="H125" s="402"/>
      <c r="I125" s="403"/>
      <c r="J125" s="403"/>
      <c r="K125" s="1217">
        <f>+SUM(J125:J127)</f>
        <v>13340</v>
      </c>
      <c r="L125" s="1260">
        <f>+SUM(K125:K129)</f>
        <v>14340</v>
      </c>
      <c r="N125" s="228"/>
    </row>
    <row r="126" spans="2:14" s="109" customFormat="1" ht="15" customHeight="1" outlineLevel="1">
      <c r="B126" s="1164"/>
      <c r="C126" s="1160"/>
      <c r="D126" s="1249"/>
      <c r="E126" s="374" t="s">
        <v>346</v>
      </c>
      <c r="F126" s="467"/>
      <c r="G126" s="375">
        <v>100</v>
      </c>
      <c r="H126" s="375" t="s">
        <v>360</v>
      </c>
      <c r="I126" s="372">
        <f>+VLOOKUP(E126,'Line items'!$B$3:$D$120,3,FALSE)</f>
        <v>30</v>
      </c>
      <c r="J126" s="376">
        <f t="shared" ref="J126:J127" si="14">+I126*G126</f>
        <v>3000</v>
      </c>
      <c r="K126" s="1218"/>
      <c r="L126" s="1261"/>
      <c r="N126" s="228"/>
    </row>
    <row r="127" spans="2:14" s="109" customFormat="1" ht="15" customHeight="1" outlineLevel="1">
      <c r="B127" s="1164"/>
      <c r="C127" s="1160"/>
      <c r="D127" s="1249"/>
      <c r="E127" s="370" t="s">
        <v>727</v>
      </c>
      <c r="F127" s="467"/>
      <c r="G127" s="375">
        <v>1</v>
      </c>
      <c r="H127" s="375" t="s">
        <v>364</v>
      </c>
      <c r="I127" s="372">
        <f>+VLOOKUP(E127,'Line items'!$B$3:$D$120,3,FALSE)</f>
        <v>10340</v>
      </c>
      <c r="J127" s="376">
        <f t="shared" si="14"/>
        <v>10340</v>
      </c>
      <c r="K127" s="1218"/>
      <c r="L127" s="1261"/>
      <c r="N127" s="228"/>
    </row>
    <row r="128" spans="2:14" s="109" customFormat="1" ht="15" customHeight="1" outlineLevel="1">
      <c r="B128" s="1164"/>
      <c r="C128" s="1160"/>
      <c r="D128" s="373" t="s">
        <v>439</v>
      </c>
      <c r="E128" s="374" t="s">
        <v>88</v>
      </c>
      <c r="F128" s="467"/>
      <c r="G128" s="375"/>
      <c r="H128" s="375"/>
      <c r="I128" s="376"/>
      <c r="J128" s="376"/>
      <c r="K128" s="415"/>
      <c r="L128" s="1261"/>
      <c r="N128" s="228"/>
    </row>
    <row r="129" spans="2:14" s="109" customFormat="1" ht="15" customHeight="1" outlineLevel="1" thickBot="1">
      <c r="B129" s="1165"/>
      <c r="C129" s="1166"/>
      <c r="D129" s="395" t="s">
        <v>440</v>
      </c>
      <c r="E129" s="396" t="s">
        <v>191</v>
      </c>
      <c r="F129" s="468"/>
      <c r="G129" s="397">
        <v>100</v>
      </c>
      <c r="H129" s="397" t="s">
        <v>360</v>
      </c>
      <c r="I129" s="408">
        <f>+VLOOKUP(E129,'Line items'!$B$3:$D$120,3,FALSE)</f>
        <v>10</v>
      </c>
      <c r="J129" s="398">
        <f>+I129*G129</f>
        <v>1000</v>
      </c>
      <c r="K129" s="399">
        <f>+J129</f>
        <v>1000</v>
      </c>
      <c r="L129" s="1262"/>
      <c r="N129" s="228"/>
    </row>
    <row r="130" spans="2:14" s="109" customFormat="1" ht="16" thickBot="1">
      <c r="B130" s="499">
        <v>2.2999999999999998</v>
      </c>
      <c r="C130" s="1210" t="s">
        <v>38</v>
      </c>
      <c r="D130" s="1210"/>
      <c r="E130" s="1210"/>
      <c r="F130" s="500"/>
      <c r="G130" s="501"/>
      <c r="H130" s="501"/>
      <c r="I130" s="502"/>
      <c r="J130" s="502"/>
      <c r="K130" s="503"/>
      <c r="L130" s="504"/>
      <c r="N130" s="228"/>
    </row>
    <row r="131" spans="2:14" s="109" customFormat="1" ht="15" customHeight="1" outlineLevel="1">
      <c r="B131" s="1170" t="s">
        <v>539</v>
      </c>
      <c r="C131" s="1171"/>
      <c r="D131" s="386" t="s">
        <v>441</v>
      </c>
      <c r="E131" s="387" t="s">
        <v>321</v>
      </c>
      <c r="F131" s="489"/>
      <c r="G131" s="388">
        <v>100</v>
      </c>
      <c r="H131" s="388" t="s">
        <v>360</v>
      </c>
      <c r="I131" s="391">
        <f>+VLOOKUP(E131,'Line items'!$B$3:$D$120,3,FALSE)</f>
        <v>10</v>
      </c>
      <c r="J131" s="389">
        <f>+I131*G131</f>
        <v>1000</v>
      </c>
      <c r="K131" s="390">
        <f>+J131</f>
        <v>1000</v>
      </c>
      <c r="L131" s="1269">
        <f>+SUM(K131:K135)</f>
        <v>21000</v>
      </c>
      <c r="N131" s="228"/>
    </row>
    <row r="132" spans="2:14" s="109" customFormat="1" ht="15" customHeight="1" outlineLevel="1">
      <c r="B132" s="1164"/>
      <c r="C132" s="1160"/>
      <c r="D132" s="373" t="s">
        <v>442</v>
      </c>
      <c r="E132" s="374" t="s">
        <v>88</v>
      </c>
      <c r="F132" s="467"/>
      <c r="G132" s="375"/>
      <c r="H132" s="375"/>
      <c r="I132" s="376"/>
      <c r="J132" s="376"/>
      <c r="K132" s="415"/>
      <c r="L132" s="1270"/>
      <c r="N132" s="228"/>
    </row>
    <row r="133" spans="2:14" s="109" customFormat="1" ht="15" customHeight="1" outlineLevel="1">
      <c r="B133" s="1164"/>
      <c r="C133" s="1160"/>
      <c r="D133" s="1249" t="s">
        <v>443</v>
      </c>
      <c r="E133" s="374" t="s">
        <v>647</v>
      </c>
      <c r="F133" s="467"/>
      <c r="G133" s="375">
        <v>2000</v>
      </c>
      <c r="H133" s="375" t="s">
        <v>95</v>
      </c>
      <c r="I133" s="372">
        <f>+VLOOKUP(E133,'Line items'!$B$3:$D$120,3,FALSE)</f>
        <v>10</v>
      </c>
      <c r="J133" s="376">
        <f>+I133*G133</f>
        <v>20000</v>
      </c>
      <c r="K133" s="1218">
        <f>+SUM(J133:J135)</f>
        <v>20000</v>
      </c>
      <c r="L133" s="1270"/>
      <c r="N133" s="228"/>
    </row>
    <row r="134" spans="2:14" s="109" customFormat="1" ht="15" customHeight="1" outlineLevel="1">
      <c r="B134" s="1164"/>
      <c r="C134" s="1160"/>
      <c r="D134" s="1249"/>
      <c r="E134" s="374"/>
      <c r="F134" s="467"/>
      <c r="G134" s="375"/>
      <c r="H134" s="375"/>
      <c r="I134" s="376"/>
      <c r="J134" s="376"/>
      <c r="K134" s="1218"/>
      <c r="L134" s="1270"/>
      <c r="N134" s="228"/>
    </row>
    <row r="135" spans="2:14" s="109" customFormat="1" ht="15" customHeight="1" outlineLevel="1" thickBot="1">
      <c r="B135" s="1165"/>
      <c r="C135" s="1166"/>
      <c r="D135" s="1250"/>
      <c r="E135" s="505"/>
      <c r="F135" s="468"/>
      <c r="G135" s="397"/>
      <c r="H135" s="397"/>
      <c r="I135" s="398"/>
      <c r="J135" s="398"/>
      <c r="K135" s="1223"/>
      <c r="L135" s="1271"/>
      <c r="N135" s="228"/>
    </row>
    <row r="136" spans="2:14" s="109" customFormat="1" ht="15" customHeight="1" outlineLevel="1">
      <c r="B136" s="1162" t="s">
        <v>540</v>
      </c>
      <c r="C136" s="1163"/>
      <c r="D136" s="400" t="s">
        <v>444</v>
      </c>
      <c r="E136" s="401" t="s">
        <v>321</v>
      </c>
      <c r="F136" s="469"/>
      <c r="G136" s="402">
        <v>100</v>
      </c>
      <c r="H136" s="402" t="s">
        <v>360</v>
      </c>
      <c r="I136" s="394">
        <f>+VLOOKUP(E136,'Line items'!$B$3:$D$120,3,FALSE)</f>
        <v>10</v>
      </c>
      <c r="J136" s="403">
        <f t="shared" ref="J136" si="15">+I136*G136</f>
        <v>1000</v>
      </c>
      <c r="K136" s="404">
        <f>+J136</f>
        <v>1000</v>
      </c>
      <c r="L136" s="1272">
        <f>+SUM(K136:K140)</f>
        <v>21000</v>
      </c>
      <c r="N136" s="228"/>
    </row>
    <row r="137" spans="2:14" s="109" customFormat="1" ht="15" customHeight="1" outlineLevel="1">
      <c r="B137" s="1164"/>
      <c r="C137" s="1160"/>
      <c r="D137" s="373" t="s">
        <v>445</v>
      </c>
      <c r="E137" s="374" t="s">
        <v>88</v>
      </c>
      <c r="F137" s="467"/>
      <c r="G137" s="375"/>
      <c r="H137" s="375"/>
      <c r="I137" s="376"/>
      <c r="J137" s="376"/>
      <c r="K137" s="415"/>
      <c r="L137" s="1270"/>
      <c r="N137" s="228"/>
    </row>
    <row r="138" spans="2:14" s="109" customFormat="1" ht="15" customHeight="1" outlineLevel="1">
      <c r="B138" s="1164"/>
      <c r="C138" s="1160"/>
      <c r="D138" s="1249" t="s">
        <v>446</v>
      </c>
      <c r="E138" s="374" t="s">
        <v>647</v>
      </c>
      <c r="F138" s="467"/>
      <c r="G138" s="375">
        <v>2000</v>
      </c>
      <c r="H138" s="375" t="s">
        <v>95</v>
      </c>
      <c r="I138" s="372">
        <f>+VLOOKUP(E138,'Line items'!$B$3:$D$120,3,FALSE)</f>
        <v>10</v>
      </c>
      <c r="J138" s="376">
        <f>+I138*G138</f>
        <v>20000</v>
      </c>
      <c r="K138" s="1218">
        <f>+SUM(J138:J140)</f>
        <v>20000</v>
      </c>
      <c r="L138" s="1270"/>
      <c r="N138" s="228"/>
    </row>
    <row r="139" spans="2:14" s="109" customFormat="1" ht="15" customHeight="1" outlineLevel="1">
      <c r="B139" s="1164"/>
      <c r="C139" s="1160"/>
      <c r="D139" s="1249"/>
      <c r="E139" s="374"/>
      <c r="F139" s="467"/>
      <c r="G139" s="375"/>
      <c r="H139" s="375"/>
      <c r="I139" s="376"/>
      <c r="J139" s="376"/>
      <c r="K139" s="1218"/>
      <c r="L139" s="1270"/>
      <c r="N139" s="228"/>
    </row>
    <row r="140" spans="2:14" s="109" customFormat="1" ht="15" customHeight="1" outlineLevel="1" thickBot="1">
      <c r="B140" s="1172"/>
      <c r="C140" s="1161"/>
      <c r="D140" s="1256"/>
      <c r="E140" s="487"/>
      <c r="F140" s="470"/>
      <c r="G140" s="383"/>
      <c r="H140" s="383"/>
      <c r="I140" s="384"/>
      <c r="J140" s="384"/>
      <c r="K140" s="1255"/>
      <c r="L140" s="1273"/>
      <c r="N140" s="228"/>
    </row>
    <row r="141" spans="2:14" s="109" customFormat="1" ht="16" thickBot="1">
      <c r="B141" s="510">
        <v>3</v>
      </c>
      <c r="C141" s="511" t="s">
        <v>53</v>
      </c>
      <c r="D141" s="512"/>
      <c r="E141" s="513"/>
      <c r="F141" s="514"/>
      <c r="G141" s="515"/>
      <c r="H141" s="515"/>
      <c r="I141" s="516"/>
      <c r="J141" s="516"/>
      <c r="K141" s="517"/>
      <c r="L141" s="518"/>
      <c r="N141" s="228"/>
    </row>
    <row r="142" spans="2:14" s="109" customFormat="1" ht="16" thickBot="1">
      <c r="B142" s="519">
        <v>3.1</v>
      </c>
      <c r="C142" s="1173" t="s">
        <v>42</v>
      </c>
      <c r="D142" s="1173"/>
      <c r="E142" s="1173"/>
      <c r="F142" s="520"/>
      <c r="G142" s="521"/>
      <c r="H142" s="521"/>
      <c r="I142" s="522"/>
      <c r="J142" s="522"/>
      <c r="K142" s="523"/>
      <c r="L142" s="524"/>
      <c r="N142" s="228"/>
    </row>
    <row r="143" spans="2:14" s="109" customFormat="1" ht="15" customHeight="1" outlineLevel="1">
      <c r="B143" s="1162" t="s">
        <v>541</v>
      </c>
      <c r="C143" s="1163"/>
      <c r="D143" s="1248" t="s">
        <v>448</v>
      </c>
      <c r="E143" s="401" t="s">
        <v>324</v>
      </c>
      <c r="F143" s="469"/>
      <c r="G143" s="402">
        <v>1</v>
      </c>
      <c r="H143" s="402" t="s">
        <v>364</v>
      </c>
      <c r="I143" s="394">
        <f>+VLOOKUP(E143,'Line items'!$B$3:$D$120,3,FALSE)</f>
        <v>2500</v>
      </c>
      <c r="J143" s="403">
        <f t="shared" ref="J143:J145" si="16">+I143*G143</f>
        <v>2500</v>
      </c>
      <c r="K143" s="404">
        <f>+SUM(J143:J144)</f>
        <v>23500</v>
      </c>
      <c r="L143" s="1260">
        <f>+SUM(K143:K146)</f>
        <v>59500</v>
      </c>
      <c r="N143" s="228"/>
    </row>
    <row r="144" spans="2:14" s="109" customFormat="1" ht="15" customHeight="1" outlineLevel="1">
      <c r="B144" s="1164"/>
      <c r="C144" s="1160"/>
      <c r="D144" s="1249"/>
      <c r="E144" s="370" t="s">
        <v>715</v>
      </c>
      <c r="F144" s="467"/>
      <c r="G144" s="375">
        <v>300</v>
      </c>
      <c r="H144" s="375" t="s">
        <v>360</v>
      </c>
      <c r="I144" s="372">
        <f>+VLOOKUP(E144,'Line items'!$B$3:$D$120,3,FALSE)</f>
        <v>70</v>
      </c>
      <c r="J144" s="376">
        <f t="shared" si="16"/>
        <v>21000</v>
      </c>
      <c r="K144" s="377"/>
      <c r="L144" s="1261"/>
      <c r="N144" s="228"/>
    </row>
    <row r="145" spans="2:14" s="109" customFormat="1" ht="15" customHeight="1" outlineLevel="1">
      <c r="B145" s="1164"/>
      <c r="C145" s="1160"/>
      <c r="D145" s="373" t="s">
        <v>449</v>
      </c>
      <c r="E145" s="374" t="s">
        <v>88</v>
      </c>
      <c r="F145" s="467"/>
      <c r="G145" s="375"/>
      <c r="H145" s="375"/>
      <c r="I145" s="376"/>
      <c r="J145" s="376">
        <f t="shared" si="16"/>
        <v>0</v>
      </c>
      <c r="K145" s="415"/>
      <c r="L145" s="1261"/>
      <c r="N145" s="228"/>
    </row>
    <row r="146" spans="2:14" s="109" customFormat="1" ht="15" customHeight="1" outlineLevel="1" thickBot="1">
      <c r="B146" s="1165"/>
      <c r="C146" s="1166"/>
      <c r="D146" s="395" t="s">
        <v>450</v>
      </c>
      <c r="E146" s="396" t="s">
        <v>723</v>
      </c>
      <c r="F146" s="468"/>
      <c r="G146" s="397">
        <v>300</v>
      </c>
      <c r="H146" s="397" t="s">
        <v>360</v>
      </c>
      <c r="I146" s="408">
        <f>+VLOOKUP(E146,'Line items'!$B$3:$D$120,3,FALSE)</f>
        <v>120</v>
      </c>
      <c r="J146" s="398">
        <f>+I146*G146</f>
        <v>36000</v>
      </c>
      <c r="K146" s="399">
        <f>+J146</f>
        <v>36000</v>
      </c>
      <c r="L146" s="1262"/>
      <c r="N146" s="228"/>
    </row>
    <row r="147" spans="2:14" s="109" customFormat="1" ht="16" thickBot="1">
      <c r="B147" s="519">
        <v>3.2</v>
      </c>
      <c r="C147" s="1173" t="s">
        <v>43</v>
      </c>
      <c r="D147" s="1173"/>
      <c r="E147" s="1173"/>
      <c r="F147" s="520"/>
      <c r="G147" s="521"/>
      <c r="H147" s="521"/>
      <c r="I147" s="522"/>
      <c r="J147" s="522"/>
      <c r="K147" s="523"/>
      <c r="L147" s="524"/>
      <c r="N147" s="228"/>
    </row>
    <row r="148" spans="2:14" s="109" customFormat="1" ht="15" customHeight="1" outlineLevel="1">
      <c r="B148" s="1162" t="s">
        <v>542</v>
      </c>
      <c r="C148" s="1163"/>
      <c r="D148" s="1246" t="s">
        <v>451</v>
      </c>
      <c r="E148" s="401" t="s">
        <v>325</v>
      </c>
      <c r="F148" s="469"/>
      <c r="G148" s="402"/>
      <c r="H148" s="402"/>
      <c r="I148" s="403"/>
      <c r="J148" s="403"/>
      <c r="K148" s="1217">
        <f>+SUM(J148:J150)</f>
        <v>21700</v>
      </c>
      <c r="L148" s="1260">
        <f>+SUM(K148:K152)</f>
        <v>57700</v>
      </c>
      <c r="N148" s="228"/>
    </row>
    <row r="149" spans="2:14" s="109" customFormat="1" ht="15" customHeight="1" outlineLevel="1">
      <c r="B149" s="1164"/>
      <c r="C149" s="1160"/>
      <c r="D149" s="1247"/>
      <c r="E149" s="370" t="s">
        <v>715</v>
      </c>
      <c r="F149" s="467"/>
      <c r="G149" s="375">
        <v>300</v>
      </c>
      <c r="H149" s="375" t="s">
        <v>360</v>
      </c>
      <c r="I149" s="372">
        <f>+VLOOKUP(E149,'Line items'!$B$3:$D$120,3,FALSE)</f>
        <v>70</v>
      </c>
      <c r="J149" s="376">
        <f t="shared" ref="J149:J150" si="17">+I149*G149</f>
        <v>21000</v>
      </c>
      <c r="K149" s="1218"/>
      <c r="L149" s="1261"/>
      <c r="N149" s="228"/>
    </row>
    <row r="150" spans="2:14" s="109" customFormat="1" ht="15" customHeight="1" outlineLevel="1">
      <c r="B150" s="1164"/>
      <c r="C150" s="1160"/>
      <c r="D150" s="1247"/>
      <c r="E150" s="374" t="s">
        <v>705</v>
      </c>
      <c r="F150" s="467"/>
      <c r="G150" s="375">
        <v>1</v>
      </c>
      <c r="H150" s="375" t="s">
        <v>364</v>
      </c>
      <c r="I150" s="372">
        <f>+VLOOKUP(E150,'Line items'!$B$3:$D$120,3,FALSE)</f>
        <v>700</v>
      </c>
      <c r="J150" s="376">
        <f t="shared" si="17"/>
        <v>700</v>
      </c>
      <c r="K150" s="1218"/>
      <c r="L150" s="1261"/>
      <c r="N150" s="228"/>
    </row>
    <row r="151" spans="2:14" s="109" customFormat="1" ht="15" customHeight="1" outlineLevel="1">
      <c r="B151" s="1164"/>
      <c r="C151" s="1160"/>
      <c r="D151" s="373" t="s">
        <v>452</v>
      </c>
      <c r="E151" s="374" t="s">
        <v>88</v>
      </c>
      <c r="F151" s="467"/>
      <c r="G151" s="375"/>
      <c r="H151" s="375"/>
      <c r="I151" s="376"/>
      <c r="J151" s="376"/>
      <c r="K151" s="415"/>
      <c r="L151" s="1261"/>
      <c r="N151" s="228"/>
    </row>
    <row r="152" spans="2:14" s="109" customFormat="1" ht="15" customHeight="1" outlineLevel="1" thickBot="1">
      <c r="B152" s="1165"/>
      <c r="C152" s="1166"/>
      <c r="D152" s="395" t="s">
        <v>453</v>
      </c>
      <c r="E152" s="396" t="s">
        <v>716</v>
      </c>
      <c r="F152" s="468"/>
      <c r="G152" s="397">
        <v>300</v>
      </c>
      <c r="H152" s="397" t="s">
        <v>360</v>
      </c>
      <c r="I152" s="408">
        <f>+VLOOKUP(E152,'Line items'!$B$3:$D$120,3,FALSE)</f>
        <v>120</v>
      </c>
      <c r="J152" s="398">
        <f>+I152*G152</f>
        <v>36000</v>
      </c>
      <c r="K152" s="399">
        <f>+J152</f>
        <v>36000</v>
      </c>
      <c r="L152" s="1262"/>
      <c r="N152" s="228"/>
    </row>
    <row r="153" spans="2:14" s="109" customFormat="1" ht="15" customHeight="1" outlineLevel="1">
      <c r="B153" s="1162" t="s">
        <v>543</v>
      </c>
      <c r="C153" s="1163"/>
      <c r="D153" s="1248" t="s">
        <v>454</v>
      </c>
      <c r="E153" s="401" t="s">
        <v>325</v>
      </c>
      <c r="F153" s="469"/>
      <c r="G153" s="402"/>
      <c r="H153" s="402"/>
      <c r="I153" s="403"/>
      <c r="J153" s="403"/>
      <c r="K153" s="404">
        <f>+SUM(J153:J154)</f>
        <v>700</v>
      </c>
      <c r="L153" s="1260">
        <f>+SUM(K153:K156)</f>
        <v>41700</v>
      </c>
      <c r="N153" s="228"/>
    </row>
    <row r="154" spans="2:14" s="109" customFormat="1" ht="15" customHeight="1" outlineLevel="1">
      <c r="B154" s="1164"/>
      <c r="C154" s="1160"/>
      <c r="D154" s="1249"/>
      <c r="E154" s="374" t="s">
        <v>705</v>
      </c>
      <c r="F154" s="467"/>
      <c r="G154" s="375">
        <v>1</v>
      </c>
      <c r="H154" s="375" t="s">
        <v>364</v>
      </c>
      <c r="I154" s="372">
        <f>+VLOOKUP(E154,'Line items'!$B$3:$D$120,3,FALSE)</f>
        <v>700</v>
      </c>
      <c r="J154" s="376">
        <f t="shared" ref="J154:J156" si="18">+I154*G154</f>
        <v>700</v>
      </c>
      <c r="K154" s="377"/>
      <c r="L154" s="1261"/>
      <c r="N154" s="228"/>
    </row>
    <row r="155" spans="2:14" s="109" customFormat="1" ht="15" customHeight="1" outlineLevel="1">
      <c r="B155" s="1164"/>
      <c r="C155" s="1160"/>
      <c r="D155" s="373" t="s">
        <v>455</v>
      </c>
      <c r="E155" s="374" t="s">
        <v>717</v>
      </c>
      <c r="F155" s="467"/>
      <c r="G155" s="375">
        <v>1</v>
      </c>
      <c r="H155" s="375" t="s">
        <v>364</v>
      </c>
      <c r="I155" s="372">
        <f>+VLOOKUP(E155,'Line items'!$B$3:$D$120,3,FALSE)</f>
        <v>5000</v>
      </c>
      <c r="J155" s="376">
        <f t="shared" si="18"/>
        <v>5000</v>
      </c>
      <c r="K155" s="377">
        <f>+J155</f>
        <v>5000</v>
      </c>
      <c r="L155" s="1261"/>
      <c r="N155" s="228"/>
    </row>
    <row r="156" spans="2:14" s="109" customFormat="1" ht="15" customHeight="1" outlineLevel="1" thickBot="1">
      <c r="B156" s="1165"/>
      <c r="C156" s="1166"/>
      <c r="D156" s="395" t="s">
        <v>456</v>
      </c>
      <c r="E156" s="396" t="s">
        <v>716</v>
      </c>
      <c r="F156" s="468"/>
      <c r="G156" s="397">
        <v>300</v>
      </c>
      <c r="H156" s="397" t="s">
        <v>360</v>
      </c>
      <c r="I156" s="408">
        <f>+VLOOKUP(E156,'Line items'!$B$3:$D$120,3,FALSE)</f>
        <v>120</v>
      </c>
      <c r="J156" s="398">
        <f t="shared" si="18"/>
        <v>36000</v>
      </c>
      <c r="K156" s="399">
        <f>+J156</f>
        <v>36000</v>
      </c>
      <c r="L156" s="1262"/>
      <c r="N156" s="228"/>
    </row>
    <row r="157" spans="2:14" s="109" customFormat="1" ht="15" customHeight="1" outlineLevel="1">
      <c r="B157" s="1162" t="s">
        <v>544</v>
      </c>
      <c r="C157" s="1163"/>
      <c r="D157" s="400" t="s">
        <v>457</v>
      </c>
      <c r="E157" s="401" t="s">
        <v>88</v>
      </c>
      <c r="F157" s="469"/>
      <c r="G157" s="402"/>
      <c r="H157" s="402"/>
      <c r="I157" s="403"/>
      <c r="J157" s="403"/>
      <c r="K157" s="461"/>
      <c r="L157" s="1260">
        <f>+SUM(K157:K159)</f>
        <v>4000</v>
      </c>
      <c r="N157" s="228"/>
    </row>
    <row r="158" spans="2:14" s="109" customFormat="1" ht="15" customHeight="1" outlineLevel="1">
      <c r="B158" s="1164"/>
      <c r="C158" s="1160"/>
      <c r="D158" s="373" t="s">
        <v>458</v>
      </c>
      <c r="E158" s="374" t="s">
        <v>88</v>
      </c>
      <c r="F158" s="467"/>
      <c r="G158" s="375"/>
      <c r="H158" s="375"/>
      <c r="I158" s="376"/>
      <c r="J158" s="376"/>
      <c r="K158" s="415"/>
      <c r="L158" s="1261"/>
      <c r="N158" s="228"/>
    </row>
    <row r="159" spans="2:14" s="109" customFormat="1" ht="15" customHeight="1" outlineLevel="1" thickBot="1">
      <c r="B159" s="1165"/>
      <c r="C159" s="1166"/>
      <c r="D159" s="395" t="s">
        <v>459</v>
      </c>
      <c r="E159" s="396" t="s">
        <v>326</v>
      </c>
      <c r="F159" s="468"/>
      <c r="G159" s="397">
        <v>2</v>
      </c>
      <c r="H159" s="397" t="s">
        <v>358</v>
      </c>
      <c r="I159" s="408">
        <f>+VLOOKUP(E159,'Line items'!$B$3:$D$120,3,FALSE)</f>
        <v>2000</v>
      </c>
      <c r="J159" s="398">
        <f>+I159*G159</f>
        <v>4000</v>
      </c>
      <c r="K159" s="399">
        <f>+J159</f>
        <v>4000</v>
      </c>
      <c r="L159" s="1262"/>
      <c r="N159" s="228"/>
    </row>
    <row r="160" spans="2:14" s="109" customFormat="1" ht="16" thickBot="1">
      <c r="B160" s="519">
        <v>3.3</v>
      </c>
      <c r="C160" s="1173" t="s">
        <v>44</v>
      </c>
      <c r="D160" s="1173"/>
      <c r="E160" s="1173"/>
      <c r="F160" s="520"/>
      <c r="G160" s="521"/>
      <c r="H160" s="521"/>
      <c r="I160" s="522"/>
      <c r="J160" s="522"/>
      <c r="K160" s="523"/>
      <c r="L160" s="524"/>
      <c r="N160" s="228"/>
    </row>
    <row r="161" spans="2:14" s="109" customFormat="1" ht="15" customHeight="1" outlineLevel="1">
      <c r="B161" s="1162" t="s">
        <v>545</v>
      </c>
      <c r="C161" s="1163"/>
      <c r="D161" s="1246" t="s">
        <v>460</v>
      </c>
      <c r="E161" s="401" t="s">
        <v>327</v>
      </c>
      <c r="F161" s="469"/>
      <c r="G161" s="402"/>
      <c r="H161" s="402"/>
      <c r="I161" s="403"/>
      <c r="J161" s="403"/>
      <c r="K161" s="1219"/>
      <c r="L161" s="1260">
        <f>+SUM(K161:K165)</f>
        <v>0</v>
      </c>
      <c r="N161" s="228"/>
    </row>
    <row r="162" spans="2:14" s="109" customFormat="1" ht="15" customHeight="1" outlineLevel="1">
      <c r="B162" s="1164"/>
      <c r="C162" s="1160"/>
      <c r="D162" s="1247"/>
      <c r="E162" s="374" t="s">
        <v>328</v>
      </c>
      <c r="F162" s="467"/>
      <c r="G162" s="375"/>
      <c r="H162" s="375"/>
      <c r="I162" s="376"/>
      <c r="J162" s="376"/>
      <c r="K162" s="1220"/>
      <c r="L162" s="1261"/>
      <c r="N162" s="228"/>
    </row>
    <row r="163" spans="2:14" s="109" customFormat="1" ht="15" customHeight="1" outlineLevel="1">
      <c r="B163" s="1164"/>
      <c r="C163" s="1160"/>
      <c r="D163" s="1247"/>
      <c r="E163" s="374" t="s">
        <v>329</v>
      </c>
      <c r="F163" s="467"/>
      <c r="G163" s="375"/>
      <c r="H163" s="375"/>
      <c r="I163" s="376"/>
      <c r="J163" s="376"/>
      <c r="K163" s="1220"/>
      <c r="L163" s="1261"/>
      <c r="N163" s="228"/>
    </row>
    <row r="164" spans="2:14" s="109" customFormat="1" ht="15" customHeight="1" outlineLevel="1">
      <c r="B164" s="1164"/>
      <c r="C164" s="1160"/>
      <c r="D164" s="373" t="s">
        <v>461</v>
      </c>
      <c r="E164" s="374" t="s">
        <v>88</v>
      </c>
      <c r="F164" s="467"/>
      <c r="G164" s="375"/>
      <c r="H164" s="375"/>
      <c r="I164" s="376"/>
      <c r="J164" s="376"/>
      <c r="K164" s="415"/>
      <c r="L164" s="1261"/>
      <c r="N164" s="228"/>
    </row>
    <row r="165" spans="2:14" s="109" customFormat="1" ht="15" customHeight="1" outlineLevel="1" thickBot="1">
      <c r="B165" s="1165"/>
      <c r="C165" s="1166"/>
      <c r="D165" s="395" t="s">
        <v>462</v>
      </c>
      <c r="E165" s="396" t="s">
        <v>202</v>
      </c>
      <c r="F165" s="468"/>
      <c r="G165" s="397"/>
      <c r="H165" s="397"/>
      <c r="I165" s="398"/>
      <c r="J165" s="398"/>
      <c r="K165" s="441"/>
      <c r="L165" s="1262"/>
      <c r="N165" s="228"/>
    </row>
    <row r="166" spans="2:14" s="109" customFormat="1" ht="15" customHeight="1" outlineLevel="1">
      <c r="B166" s="1162" t="s">
        <v>546</v>
      </c>
      <c r="C166" s="1163"/>
      <c r="D166" s="1246" t="s">
        <v>463</v>
      </c>
      <c r="E166" s="401" t="s">
        <v>718</v>
      </c>
      <c r="F166" s="469"/>
      <c r="G166" s="402">
        <v>300</v>
      </c>
      <c r="H166" s="402" t="s">
        <v>360</v>
      </c>
      <c r="I166" s="394">
        <f>+VLOOKUP(E166,'Line items'!$B$3:$D$120,3,FALSE)</f>
        <v>10</v>
      </c>
      <c r="J166" s="403">
        <f t="shared" ref="J166:J167" si="19">+I166*G166</f>
        <v>3000</v>
      </c>
      <c r="K166" s="404">
        <f>+SUM(J166:J167)</f>
        <v>4040</v>
      </c>
      <c r="L166" s="1260">
        <f>+SUM(K166:K169)</f>
        <v>5080</v>
      </c>
      <c r="N166" s="228"/>
    </row>
    <row r="167" spans="2:14" s="109" customFormat="1" ht="15" customHeight="1" outlineLevel="1">
      <c r="B167" s="1164"/>
      <c r="C167" s="1160"/>
      <c r="D167" s="1247"/>
      <c r="E167" s="374" t="s">
        <v>330</v>
      </c>
      <c r="F167" s="467"/>
      <c r="G167" s="375">
        <v>8</v>
      </c>
      <c r="H167" s="375" t="s">
        <v>364</v>
      </c>
      <c r="I167" s="372">
        <f>+VLOOKUP(E167,'Line items'!$B$3:$D$120,3,FALSE)</f>
        <v>130</v>
      </c>
      <c r="J167" s="376">
        <f t="shared" si="19"/>
        <v>1040</v>
      </c>
      <c r="K167" s="377"/>
      <c r="L167" s="1261"/>
      <c r="N167" s="228"/>
    </row>
    <row r="168" spans="2:14" s="109" customFormat="1" ht="15" customHeight="1" outlineLevel="1">
      <c r="B168" s="1164"/>
      <c r="C168" s="1160"/>
      <c r="D168" s="380" t="s">
        <v>464</v>
      </c>
      <c r="E168" s="374" t="s">
        <v>88</v>
      </c>
      <c r="F168" s="467"/>
      <c r="G168" s="375"/>
      <c r="H168" s="375"/>
      <c r="I168" s="376"/>
      <c r="J168" s="376"/>
      <c r="K168" s="415"/>
      <c r="L168" s="1261"/>
      <c r="N168" s="228"/>
    </row>
    <row r="169" spans="2:14" s="109" customFormat="1" ht="15" customHeight="1" outlineLevel="1" thickBot="1">
      <c r="B169" s="1165"/>
      <c r="C169" s="1166"/>
      <c r="D169" s="407" t="s">
        <v>465</v>
      </c>
      <c r="E169" s="396" t="s">
        <v>330</v>
      </c>
      <c r="F169" s="468"/>
      <c r="G169" s="397">
        <v>8</v>
      </c>
      <c r="H169" s="397" t="s">
        <v>364</v>
      </c>
      <c r="I169" s="408">
        <f>+VLOOKUP(E169,'Line items'!$B$3:$D$120,3,FALSE)</f>
        <v>130</v>
      </c>
      <c r="J169" s="398">
        <f t="shared" ref="J169:J172" si="20">+I169*G169</f>
        <v>1040</v>
      </c>
      <c r="K169" s="399">
        <f>+J169</f>
        <v>1040</v>
      </c>
      <c r="L169" s="1262"/>
      <c r="N169" s="228"/>
    </row>
    <row r="170" spans="2:14" s="109" customFormat="1" ht="15" customHeight="1" outlineLevel="1">
      <c r="B170" s="1162" t="s">
        <v>547</v>
      </c>
      <c r="C170" s="1163"/>
      <c r="D170" s="1246" t="s">
        <v>466</v>
      </c>
      <c r="E170" s="401" t="s">
        <v>331</v>
      </c>
      <c r="F170" s="469"/>
      <c r="G170" s="402"/>
      <c r="H170" s="402"/>
      <c r="I170" s="403"/>
      <c r="J170" s="403">
        <f t="shared" si="20"/>
        <v>0</v>
      </c>
      <c r="K170" s="1217">
        <f>+SUM(J170:J172)</f>
        <v>4040</v>
      </c>
      <c r="L170" s="1260">
        <f>+SUM(K170:K174)</f>
        <v>5080</v>
      </c>
      <c r="N170" s="228"/>
    </row>
    <row r="171" spans="2:14" s="109" customFormat="1" ht="15" customHeight="1" outlineLevel="1">
      <c r="B171" s="1164"/>
      <c r="C171" s="1160"/>
      <c r="D171" s="1247"/>
      <c r="E171" s="374" t="s">
        <v>718</v>
      </c>
      <c r="F171" s="467"/>
      <c r="G171" s="375">
        <v>300</v>
      </c>
      <c r="H171" s="375" t="s">
        <v>360</v>
      </c>
      <c r="I171" s="372">
        <f>+VLOOKUP(E171,'Line items'!$B$3:$D$120,3,FALSE)</f>
        <v>10</v>
      </c>
      <c r="J171" s="376">
        <f t="shared" si="20"/>
        <v>3000</v>
      </c>
      <c r="K171" s="1218"/>
      <c r="L171" s="1261"/>
      <c r="N171" s="228"/>
    </row>
    <row r="172" spans="2:14" s="109" customFormat="1" ht="15" customHeight="1" outlineLevel="1">
      <c r="B172" s="1164"/>
      <c r="C172" s="1160"/>
      <c r="D172" s="1247"/>
      <c r="E172" s="374" t="s">
        <v>330</v>
      </c>
      <c r="F172" s="467"/>
      <c r="G172" s="375">
        <v>8</v>
      </c>
      <c r="H172" s="375" t="s">
        <v>364</v>
      </c>
      <c r="I172" s="372">
        <f>+VLOOKUP(E172,'Line items'!$B$3:$D$120,3,FALSE)</f>
        <v>130</v>
      </c>
      <c r="J172" s="376">
        <f t="shared" si="20"/>
        <v>1040</v>
      </c>
      <c r="K172" s="1218"/>
      <c r="L172" s="1261"/>
      <c r="N172" s="228"/>
    </row>
    <row r="173" spans="2:14" s="109" customFormat="1" ht="15" customHeight="1" outlineLevel="1">
      <c r="B173" s="1164"/>
      <c r="C173" s="1160"/>
      <c r="D173" s="380" t="s">
        <v>467</v>
      </c>
      <c r="E173" s="374" t="s">
        <v>88</v>
      </c>
      <c r="F173" s="467"/>
      <c r="G173" s="375"/>
      <c r="H173" s="375"/>
      <c r="I173" s="376"/>
      <c r="J173" s="376"/>
      <c r="K173" s="415"/>
      <c r="L173" s="1261"/>
      <c r="N173" s="228"/>
    </row>
    <row r="174" spans="2:14" s="109" customFormat="1" ht="15" customHeight="1" outlineLevel="1" thickBot="1">
      <c r="B174" s="1172"/>
      <c r="C174" s="1161"/>
      <c r="D174" s="381" t="s">
        <v>468</v>
      </c>
      <c r="E174" s="382" t="s">
        <v>330</v>
      </c>
      <c r="F174" s="488"/>
      <c r="G174" s="428">
        <v>8</v>
      </c>
      <c r="H174" s="428" t="s">
        <v>364</v>
      </c>
      <c r="I174" s="426">
        <f>+VLOOKUP(E174,'Line items'!$B$3:$D$120,3,FALSE)</f>
        <v>130</v>
      </c>
      <c r="J174" s="426">
        <f>+I174*G174</f>
        <v>1040</v>
      </c>
      <c r="K174" s="429">
        <f>+J174</f>
        <v>1040</v>
      </c>
      <c r="L174" s="1263"/>
      <c r="N174" s="228"/>
    </row>
    <row r="175" spans="2:14" s="109" customFormat="1" ht="16" thickBot="1">
      <c r="B175" s="519">
        <v>3.4</v>
      </c>
      <c r="C175" s="1173" t="s">
        <v>45</v>
      </c>
      <c r="D175" s="1173"/>
      <c r="E175" s="1173"/>
      <c r="F175" s="520"/>
      <c r="G175" s="521"/>
      <c r="H175" s="521"/>
      <c r="I175" s="522"/>
      <c r="J175" s="522"/>
      <c r="K175" s="523"/>
      <c r="L175" s="524"/>
      <c r="N175" s="228"/>
    </row>
    <row r="176" spans="2:14" s="109" customFormat="1" ht="15" customHeight="1" outlineLevel="1">
      <c r="B176" s="1162" t="s">
        <v>548</v>
      </c>
      <c r="C176" s="1163"/>
      <c r="D176" s="400" t="s">
        <v>469</v>
      </c>
      <c r="E176" s="401" t="s">
        <v>88</v>
      </c>
      <c r="F176" s="469"/>
      <c r="G176" s="402"/>
      <c r="H176" s="402"/>
      <c r="I176" s="403"/>
      <c r="J176" s="403"/>
      <c r="K176" s="461"/>
      <c r="L176" s="1260">
        <f>+SUM(K176:K178)</f>
        <v>0</v>
      </c>
      <c r="N176" s="228"/>
    </row>
    <row r="177" spans="2:14" s="109" customFormat="1" ht="15" customHeight="1" outlineLevel="1">
      <c r="B177" s="1164"/>
      <c r="C177" s="1160"/>
      <c r="D177" s="373" t="s">
        <v>470</v>
      </c>
      <c r="E177" s="374" t="s">
        <v>88</v>
      </c>
      <c r="F177" s="467"/>
      <c r="G177" s="375"/>
      <c r="H177" s="375"/>
      <c r="I177" s="376"/>
      <c r="J177" s="376"/>
      <c r="K177" s="415"/>
      <c r="L177" s="1261"/>
      <c r="N177" s="228"/>
    </row>
    <row r="178" spans="2:14" s="109" customFormat="1" ht="15" customHeight="1" outlineLevel="1" thickBot="1">
      <c r="B178" s="1165"/>
      <c r="C178" s="1166"/>
      <c r="D178" s="395" t="s">
        <v>471</v>
      </c>
      <c r="E178" s="396" t="s">
        <v>88</v>
      </c>
      <c r="F178" s="468"/>
      <c r="G178" s="397"/>
      <c r="H178" s="397"/>
      <c r="I178" s="398"/>
      <c r="J178" s="398"/>
      <c r="K178" s="424"/>
      <c r="L178" s="1262"/>
      <c r="N178" s="228"/>
    </row>
    <row r="179" spans="2:14" s="109" customFormat="1" ht="15" customHeight="1" outlineLevel="1">
      <c r="B179" s="1162" t="s">
        <v>549</v>
      </c>
      <c r="C179" s="1163"/>
      <c r="D179" s="400" t="s">
        <v>472</v>
      </c>
      <c r="E179" s="401" t="s">
        <v>88</v>
      </c>
      <c r="F179" s="469"/>
      <c r="G179" s="402"/>
      <c r="H179" s="402"/>
      <c r="I179" s="403"/>
      <c r="J179" s="403"/>
      <c r="K179" s="461"/>
      <c r="L179" s="1260">
        <f>+SUM(K179:K181)</f>
        <v>50000</v>
      </c>
      <c r="N179" s="228"/>
    </row>
    <row r="180" spans="2:14" s="109" customFormat="1" ht="15" customHeight="1" outlineLevel="1">
      <c r="B180" s="1164"/>
      <c r="C180" s="1160"/>
      <c r="D180" s="373" t="s">
        <v>473</v>
      </c>
      <c r="E180" s="374" t="s">
        <v>88</v>
      </c>
      <c r="F180" s="467"/>
      <c r="G180" s="375"/>
      <c r="H180" s="375"/>
      <c r="I180" s="376"/>
      <c r="J180" s="376"/>
      <c r="K180" s="415"/>
      <c r="L180" s="1261"/>
      <c r="N180" s="228"/>
    </row>
    <row r="181" spans="2:14" s="109" customFormat="1" ht="15" customHeight="1" outlineLevel="1" thickBot="1">
      <c r="B181" s="1165"/>
      <c r="C181" s="1166"/>
      <c r="D181" s="395" t="s">
        <v>474</v>
      </c>
      <c r="E181" s="439" t="s">
        <v>732</v>
      </c>
      <c r="F181" s="468"/>
      <c r="G181" s="397">
        <v>50</v>
      </c>
      <c r="H181" s="397" t="s">
        <v>364</v>
      </c>
      <c r="I181" s="525">
        <f>+VLOOKUP(E181,'Line items'!$B$3:$D$120,3,FALSE)</f>
        <v>1000</v>
      </c>
      <c r="J181" s="398">
        <f>+I181*G181</f>
        <v>50000</v>
      </c>
      <c r="K181" s="399">
        <f>+J181</f>
        <v>50000</v>
      </c>
      <c r="L181" s="1262"/>
      <c r="N181" s="228"/>
    </row>
    <row r="182" spans="2:14" s="109" customFormat="1" ht="16" thickBot="1">
      <c r="B182" s="519">
        <v>3.5</v>
      </c>
      <c r="C182" s="1173" t="s">
        <v>46</v>
      </c>
      <c r="D182" s="1173"/>
      <c r="E182" s="1173"/>
      <c r="F182" s="520"/>
      <c r="G182" s="521"/>
      <c r="H182" s="521"/>
      <c r="I182" s="522"/>
      <c r="J182" s="522"/>
      <c r="K182" s="523"/>
      <c r="L182" s="524"/>
      <c r="N182" s="228"/>
    </row>
    <row r="183" spans="2:14" s="109" customFormat="1" ht="15" customHeight="1" outlineLevel="1">
      <c r="B183" s="1162" t="s">
        <v>550</v>
      </c>
      <c r="C183" s="1163"/>
      <c r="D183" s="400" t="s">
        <v>475</v>
      </c>
      <c r="E183" s="401" t="s">
        <v>332</v>
      </c>
      <c r="F183" s="469"/>
      <c r="G183" s="402">
        <v>1</v>
      </c>
      <c r="H183" s="402" t="s">
        <v>364</v>
      </c>
      <c r="I183" s="394">
        <f>+VLOOKUP(E183,'Line items'!$B$3:$D$120,3,FALSE)</f>
        <v>5000</v>
      </c>
      <c r="J183" s="403">
        <f>+I183*G183</f>
        <v>5000</v>
      </c>
      <c r="K183" s="404">
        <f>+J183</f>
        <v>5000</v>
      </c>
      <c r="L183" s="1260">
        <f>+SUM(K183:K185)</f>
        <v>16000</v>
      </c>
      <c r="N183" s="228"/>
    </row>
    <row r="184" spans="2:14" s="109" customFormat="1" ht="15" customHeight="1" outlineLevel="1">
      <c r="B184" s="1164"/>
      <c r="C184" s="1160"/>
      <c r="D184" s="373" t="s">
        <v>476</v>
      </c>
      <c r="E184" s="374" t="s">
        <v>88</v>
      </c>
      <c r="F184" s="467"/>
      <c r="G184" s="375"/>
      <c r="H184" s="375"/>
      <c r="I184" s="376"/>
      <c r="J184" s="376"/>
      <c r="K184" s="415"/>
      <c r="L184" s="1261"/>
      <c r="N184" s="228"/>
    </row>
    <row r="185" spans="2:14" s="109" customFormat="1" ht="15" customHeight="1" outlineLevel="1" thickBot="1">
      <c r="B185" s="1165"/>
      <c r="C185" s="1166"/>
      <c r="D185" s="395" t="s">
        <v>477</v>
      </c>
      <c r="E185" s="439" t="s">
        <v>721</v>
      </c>
      <c r="F185" s="468"/>
      <c r="G185" s="397">
        <v>100</v>
      </c>
      <c r="H185" s="397" t="s">
        <v>360</v>
      </c>
      <c r="I185" s="408">
        <f>+VLOOKUP(E185,'Line items'!$B$3:$D$120,3,FALSE)</f>
        <v>110</v>
      </c>
      <c r="J185" s="398">
        <f t="shared" ref="J185:J186" si="21">+I185*G185</f>
        <v>11000</v>
      </c>
      <c r="K185" s="399">
        <f t="shared" ref="K185:K186" si="22">+J185</f>
        <v>11000</v>
      </c>
      <c r="L185" s="1262"/>
      <c r="N185" s="228"/>
    </row>
    <row r="186" spans="2:14" s="109" customFormat="1" ht="15" customHeight="1" outlineLevel="1">
      <c r="B186" s="1162" t="s">
        <v>551</v>
      </c>
      <c r="C186" s="1163"/>
      <c r="D186" s="400" t="s">
        <v>478</v>
      </c>
      <c r="E186" s="392" t="s">
        <v>721</v>
      </c>
      <c r="F186" s="469"/>
      <c r="G186" s="402">
        <v>100</v>
      </c>
      <c r="H186" s="402" t="s">
        <v>360</v>
      </c>
      <c r="I186" s="394">
        <f>+VLOOKUP(E186,'Line items'!$B$3:$D$120,3,FALSE)</f>
        <v>110</v>
      </c>
      <c r="J186" s="403">
        <f t="shared" si="21"/>
        <v>11000</v>
      </c>
      <c r="K186" s="404">
        <f t="shared" si="22"/>
        <v>11000</v>
      </c>
      <c r="L186" s="1260">
        <f>+SUM(K186:K188)</f>
        <v>11000</v>
      </c>
      <c r="N186" s="228"/>
    </row>
    <row r="187" spans="2:14" s="109" customFormat="1" ht="15" customHeight="1" outlineLevel="1">
      <c r="B187" s="1164"/>
      <c r="C187" s="1160"/>
      <c r="D187" s="373" t="s">
        <v>479</v>
      </c>
      <c r="E187" s="374" t="s">
        <v>88</v>
      </c>
      <c r="F187" s="467"/>
      <c r="G187" s="375"/>
      <c r="H187" s="375"/>
      <c r="I187" s="372"/>
      <c r="J187" s="376"/>
      <c r="K187" s="415"/>
      <c r="L187" s="1261"/>
      <c r="N187" s="228"/>
    </row>
    <row r="188" spans="2:14" s="109" customFormat="1" ht="15" customHeight="1" outlineLevel="1" thickBot="1">
      <c r="B188" s="1165"/>
      <c r="C188" s="1166"/>
      <c r="D188" s="395" t="s">
        <v>480</v>
      </c>
      <c r="E188" s="396" t="s">
        <v>88</v>
      </c>
      <c r="F188" s="468"/>
      <c r="G188" s="397"/>
      <c r="H188" s="397"/>
      <c r="I188" s="408"/>
      <c r="J188" s="398"/>
      <c r="K188" s="424"/>
      <c r="L188" s="1262"/>
      <c r="N188" s="228"/>
    </row>
    <row r="189" spans="2:14" s="109" customFormat="1" ht="16" thickBot="1">
      <c r="B189" s="1278" t="s">
        <v>54</v>
      </c>
      <c r="C189" s="1279"/>
      <c r="D189" s="1279"/>
      <c r="E189" s="1279"/>
      <c r="F189" s="526"/>
      <c r="G189" s="527"/>
      <c r="H189" s="527"/>
      <c r="I189" s="528"/>
      <c r="J189" s="528"/>
      <c r="K189" s="529"/>
      <c r="L189" s="530"/>
      <c r="N189" s="228"/>
    </row>
    <row r="190" spans="2:14" s="109" customFormat="1" ht="16" thickBot="1">
      <c r="B190" s="519">
        <v>3.6</v>
      </c>
      <c r="C190" s="1173" t="s">
        <v>47</v>
      </c>
      <c r="D190" s="1173"/>
      <c r="E190" s="1173"/>
      <c r="F190" s="520"/>
      <c r="G190" s="521"/>
      <c r="H190" s="521"/>
      <c r="I190" s="522"/>
      <c r="J190" s="522"/>
      <c r="K190" s="523"/>
      <c r="L190" s="524"/>
      <c r="N190" s="228"/>
    </row>
    <row r="191" spans="2:14" s="109" customFormat="1" ht="15" customHeight="1" outlineLevel="1">
      <c r="B191" s="1162" t="s">
        <v>552</v>
      </c>
      <c r="C191" s="1163"/>
      <c r="D191" s="1246" t="s">
        <v>481</v>
      </c>
      <c r="E191" s="401" t="s">
        <v>722</v>
      </c>
      <c r="F191" s="469"/>
      <c r="G191" s="402">
        <v>2000</v>
      </c>
      <c r="H191" s="402" t="s">
        <v>95</v>
      </c>
      <c r="I191" s="394">
        <f>+VLOOKUP(E191,'Line items'!$B$3:$D$120,3,FALSE)</f>
        <v>10</v>
      </c>
      <c r="J191" s="403">
        <f t="shared" ref="J191:J192" si="23">+I191*G191</f>
        <v>20000</v>
      </c>
      <c r="K191" s="404">
        <f>+SUM(J191:J192)</f>
        <v>22600</v>
      </c>
      <c r="L191" s="1260">
        <f>+SUM(K191:K194)</f>
        <v>22600</v>
      </c>
      <c r="N191" s="228"/>
    </row>
    <row r="192" spans="2:14" s="109" customFormat="1" ht="15" customHeight="1" outlineLevel="1">
      <c r="B192" s="1164"/>
      <c r="C192" s="1160"/>
      <c r="D192" s="1247"/>
      <c r="E192" s="374" t="s">
        <v>335</v>
      </c>
      <c r="F192" s="467"/>
      <c r="G192" s="375">
        <v>1</v>
      </c>
      <c r="H192" s="375" t="s">
        <v>364</v>
      </c>
      <c r="I192" s="372">
        <f>+VLOOKUP(E192,'Line items'!$B$3:$D$120,3,FALSE)</f>
        <v>2600</v>
      </c>
      <c r="J192" s="376">
        <f t="shared" si="23"/>
        <v>2600</v>
      </c>
      <c r="K192" s="377"/>
      <c r="L192" s="1261"/>
      <c r="N192" s="228"/>
    </row>
    <row r="193" spans="2:14" s="109" customFormat="1" ht="15" customHeight="1" outlineLevel="1">
      <c r="B193" s="1164"/>
      <c r="C193" s="1160"/>
      <c r="D193" s="373" t="s">
        <v>482</v>
      </c>
      <c r="E193" s="374" t="s">
        <v>88</v>
      </c>
      <c r="F193" s="467"/>
      <c r="G193" s="375"/>
      <c r="H193" s="375"/>
      <c r="I193" s="376"/>
      <c r="J193" s="376"/>
      <c r="K193" s="415"/>
      <c r="L193" s="1261"/>
      <c r="N193" s="228"/>
    </row>
    <row r="194" spans="2:14" s="109" customFormat="1" ht="15" customHeight="1" outlineLevel="1" thickBot="1">
      <c r="B194" s="1165"/>
      <c r="C194" s="1166"/>
      <c r="D194" s="395" t="s">
        <v>483</v>
      </c>
      <c r="E194" s="396" t="s">
        <v>88</v>
      </c>
      <c r="F194" s="468"/>
      <c r="G194" s="397"/>
      <c r="H194" s="397"/>
      <c r="I194" s="398"/>
      <c r="J194" s="398"/>
      <c r="K194" s="424"/>
      <c r="L194" s="1262"/>
      <c r="N194" s="228"/>
    </row>
    <row r="195" spans="2:14" s="109" customFormat="1" ht="16" thickBot="1">
      <c r="B195" s="519">
        <v>3.7</v>
      </c>
      <c r="C195" s="1173" t="s">
        <v>48</v>
      </c>
      <c r="D195" s="1173"/>
      <c r="E195" s="1173"/>
      <c r="F195" s="520"/>
      <c r="G195" s="521"/>
      <c r="H195" s="521"/>
      <c r="I195" s="522"/>
      <c r="J195" s="522"/>
      <c r="K195" s="523"/>
      <c r="L195" s="524"/>
      <c r="N195" s="228"/>
    </row>
    <row r="196" spans="2:14">
      <c r="B196" s="109"/>
      <c r="C196" s="229"/>
      <c r="L196" s="243"/>
    </row>
    <row r="197" spans="2:14">
      <c r="B197" s="109"/>
      <c r="C197" s="229"/>
      <c r="L197" s="243"/>
    </row>
    <row r="198" spans="2:14">
      <c r="B198" s="109"/>
      <c r="C198" s="229"/>
      <c r="L198" s="243"/>
    </row>
    <row r="199" spans="2:14">
      <c r="B199" s="109"/>
      <c r="C199" s="229"/>
      <c r="L199" s="243"/>
    </row>
  </sheetData>
  <mergeCells count="147">
    <mergeCell ref="B189:E189"/>
    <mergeCell ref="C190:E190"/>
    <mergeCell ref="B10:C15"/>
    <mergeCell ref="D10:D13"/>
    <mergeCell ref="K10:K13"/>
    <mergeCell ref="B16:C18"/>
    <mergeCell ref="B19:C21"/>
    <mergeCell ref="B22:C26"/>
    <mergeCell ref="D22:D24"/>
    <mergeCell ref="K22:K24"/>
    <mergeCell ref="B28:C32"/>
    <mergeCell ref="D28:D30"/>
    <mergeCell ref="K28:K30"/>
    <mergeCell ref="K161:K163"/>
    <mergeCell ref="B166:C169"/>
    <mergeCell ref="D166:D167"/>
    <mergeCell ref="B170:C174"/>
    <mergeCell ref="D170:D172"/>
    <mergeCell ref="K170:K172"/>
    <mergeCell ref="B148:C152"/>
    <mergeCell ref="D148:D150"/>
    <mergeCell ref="K148:K150"/>
    <mergeCell ref="B153:C156"/>
    <mergeCell ref="D153:D154"/>
    <mergeCell ref="B157:C159"/>
    <mergeCell ref="B161:C165"/>
    <mergeCell ref="D161:D163"/>
    <mergeCell ref="K133:K135"/>
    <mergeCell ref="B136:C140"/>
    <mergeCell ref="D138:D140"/>
    <mergeCell ref="K138:K140"/>
    <mergeCell ref="B143:C146"/>
    <mergeCell ref="D143:D144"/>
    <mergeCell ref="B121:C124"/>
    <mergeCell ref="D123:D124"/>
    <mergeCell ref="K123:K124"/>
    <mergeCell ref="B125:C129"/>
    <mergeCell ref="D125:D127"/>
    <mergeCell ref="K125:K127"/>
    <mergeCell ref="B131:C135"/>
    <mergeCell ref="D133:D135"/>
    <mergeCell ref="K111:K113"/>
    <mergeCell ref="B117:C120"/>
    <mergeCell ref="D119:D120"/>
    <mergeCell ref="B111:C115"/>
    <mergeCell ref="D111:D113"/>
    <mergeCell ref="B106:C110"/>
    <mergeCell ref="D106:D108"/>
    <mergeCell ref="K106:K108"/>
    <mergeCell ref="B89:C95"/>
    <mergeCell ref="D91:D95"/>
    <mergeCell ref="K91:K95"/>
    <mergeCell ref="B97:C99"/>
    <mergeCell ref="B100:C103"/>
    <mergeCell ref="D100:D101"/>
    <mergeCell ref="K77:K81"/>
    <mergeCell ref="B82:C88"/>
    <mergeCell ref="D84:D88"/>
    <mergeCell ref="K84:K88"/>
    <mergeCell ref="B64:C66"/>
    <mergeCell ref="B68:C74"/>
    <mergeCell ref="D70:D74"/>
    <mergeCell ref="K70:K74"/>
    <mergeCell ref="B57:C62"/>
    <mergeCell ref="D57:D59"/>
    <mergeCell ref="K57:K59"/>
    <mergeCell ref="D60:D61"/>
    <mergeCell ref="K60:K61"/>
    <mergeCell ref="B75:C81"/>
    <mergeCell ref="D77:D81"/>
    <mergeCell ref="K38:K40"/>
    <mergeCell ref="B42:C46"/>
    <mergeCell ref="D43:D45"/>
    <mergeCell ref="K43:K45"/>
    <mergeCell ref="B47:C47"/>
    <mergeCell ref="D33:D34"/>
    <mergeCell ref="K33:K34"/>
    <mergeCell ref="A6:D6"/>
    <mergeCell ref="A1:D2"/>
    <mergeCell ref="E1:E2"/>
    <mergeCell ref="A3:D3"/>
    <mergeCell ref="A4:D4"/>
    <mergeCell ref="A5:D5"/>
    <mergeCell ref="B33:C36"/>
    <mergeCell ref="B37:C41"/>
    <mergeCell ref="D38:D40"/>
    <mergeCell ref="C195:E195"/>
    <mergeCell ref="C142:E142"/>
    <mergeCell ref="C147:E147"/>
    <mergeCell ref="C160:E160"/>
    <mergeCell ref="C175:E175"/>
    <mergeCell ref="C182:E182"/>
    <mergeCell ref="C130:E130"/>
    <mergeCell ref="C27:E27"/>
    <mergeCell ref="C48:E48"/>
    <mergeCell ref="C52:E52"/>
    <mergeCell ref="C56:E56"/>
    <mergeCell ref="C63:E63"/>
    <mergeCell ref="C67:E67"/>
    <mergeCell ref="C96:E96"/>
    <mergeCell ref="C105:E105"/>
    <mergeCell ref="C116:E116"/>
    <mergeCell ref="B191:C194"/>
    <mergeCell ref="D191:D192"/>
    <mergeCell ref="B186:C188"/>
    <mergeCell ref="B176:C178"/>
    <mergeCell ref="B179:C181"/>
    <mergeCell ref="B183:C185"/>
    <mergeCell ref="B49:C51"/>
    <mergeCell ref="B53:C55"/>
    <mergeCell ref="L10:L15"/>
    <mergeCell ref="L16:L18"/>
    <mergeCell ref="L19:L21"/>
    <mergeCell ref="L22:L26"/>
    <mergeCell ref="L28:L32"/>
    <mergeCell ref="L33:L36"/>
    <mergeCell ref="L37:L41"/>
    <mergeCell ref="L42:L46"/>
    <mergeCell ref="L49:L51"/>
    <mergeCell ref="L53:L55"/>
    <mergeCell ref="L57:L62"/>
    <mergeCell ref="L64:L66"/>
    <mergeCell ref="L68:L74"/>
    <mergeCell ref="L75:L81"/>
    <mergeCell ref="L82:L88"/>
    <mergeCell ref="L89:L95"/>
    <mergeCell ref="L97:L99"/>
    <mergeCell ref="L100:L103"/>
    <mergeCell ref="L106:L110"/>
    <mergeCell ref="L111:L115"/>
    <mergeCell ref="L117:L120"/>
    <mergeCell ref="L121:L124"/>
    <mergeCell ref="L125:L129"/>
    <mergeCell ref="L131:L135"/>
    <mergeCell ref="L136:L140"/>
    <mergeCell ref="L143:L146"/>
    <mergeCell ref="L148:L152"/>
    <mergeCell ref="L191:L194"/>
    <mergeCell ref="L153:L156"/>
    <mergeCell ref="L157:L159"/>
    <mergeCell ref="L161:L165"/>
    <mergeCell ref="L166:L169"/>
    <mergeCell ref="L170:L174"/>
    <mergeCell ref="L176:L178"/>
    <mergeCell ref="L179:L181"/>
    <mergeCell ref="L183:L185"/>
    <mergeCell ref="L186:L188"/>
  </mergeCell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workbookViewId="0"/>
  </sheetViews>
  <sheetFormatPr baseColWidth="10" defaultColWidth="8.83203125" defaultRowHeight="13" x14ac:dyDescent="0"/>
  <cols>
    <col min="1" max="1" width="8.83203125" style="109"/>
    <col min="2" max="2" width="59.5" style="109" bestFit="1" customWidth="1"/>
    <col min="3" max="3" width="6.5" style="120" bestFit="1" customWidth="1"/>
    <col min="4" max="4" width="12.5" style="225" bestFit="1" customWidth="1"/>
    <col min="5" max="5" width="12.5" style="108" bestFit="1" customWidth="1"/>
    <col min="6" max="6" width="8.83203125" style="353"/>
    <col min="7" max="16384" width="8.83203125" style="109"/>
  </cols>
  <sheetData>
    <row r="1" spans="2:7" ht="14" thickBot="1"/>
    <row r="2" spans="2:7" ht="14" thickBot="1">
      <c r="B2" s="367" t="s">
        <v>752</v>
      </c>
      <c r="C2" s="368" t="s">
        <v>337</v>
      </c>
      <c r="D2" s="369" t="s">
        <v>365</v>
      </c>
    </row>
    <row r="3" spans="2:7">
      <c r="B3" s="364" t="s">
        <v>300</v>
      </c>
      <c r="C3" s="365" t="s">
        <v>360</v>
      </c>
      <c r="D3" s="366">
        <f t="shared" ref="D3:D35" si="0">ROUNDUP(E3,-1)</f>
        <v>80</v>
      </c>
      <c r="E3" s="366">
        <f>53*1.5</f>
        <v>79.5</v>
      </c>
      <c r="F3" s="353" t="s">
        <v>744</v>
      </c>
    </row>
    <row r="4" spans="2:7">
      <c r="B4" s="357" t="s">
        <v>352</v>
      </c>
      <c r="C4" s="257" t="s">
        <v>360</v>
      </c>
      <c r="D4" s="366">
        <f t="shared" si="0"/>
        <v>60</v>
      </c>
      <c r="E4" s="359">
        <f>37*1.5</f>
        <v>55.5</v>
      </c>
      <c r="F4" s="353" t="s">
        <v>744</v>
      </c>
    </row>
    <row r="5" spans="2:7">
      <c r="B5" s="357" t="s">
        <v>354</v>
      </c>
      <c r="C5" s="257" t="s">
        <v>360</v>
      </c>
      <c r="D5" s="366">
        <f t="shared" si="0"/>
        <v>40</v>
      </c>
      <c r="E5" s="359">
        <f>26*1.5</f>
        <v>39</v>
      </c>
      <c r="F5" s="353" t="s">
        <v>744</v>
      </c>
    </row>
    <row r="6" spans="2:7">
      <c r="B6" s="357" t="s">
        <v>648</v>
      </c>
      <c r="C6" s="257" t="s">
        <v>360</v>
      </c>
      <c r="D6" s="366">
        <f t="shared" si="0"/>
        <v>130</v>
      </c>
      <c r="E6" s="359">
        <f>82*1.5</f>
        <v>123</v>
      </c>
      <c r="F6" s="353" t="s">
        <v>747</v>
      </c>
    </row>
    <row r="7" spans="2:7">
      <c r="B7" s="357" t="s">
        <v>649</v>
      </c>
      <c r="C7" s="257" t="s">
        <v>360</v>
      </c>
      <c r="D7" s="366">
        <f t="shared" si="0"/>
        <v>70</v>
      </c>
      <c r="E7" s="359">
        <f>44*1.5</f>
        <v>66</v>
      </c>
      <c r="F7" s="353" t="s">
        <v>748</v>
      </c>
    </row>
    <row r="8" spans="2:7">
      <c r="B8" s="357" t="s">
        <v>653</v>
      </c>
      <c r="C8" s="257" t="s">
        <v>364</v>
      </c>
      <c r="D8" s="366">
        <f t="shared" si="0"/>
        <v>2500</v>
      </c>
      <c r="E8" s="358">
        <v>2500</v>
      </c>
      <c r="F8" s="353" t="s">
        <v>735</v>
      </c>
    </row>
    <row r="9" spans="2:7">
      <c r="B9" s="357" t="s">
        <v>650</v>
      </c>
      <c r="C9" s="257" t="s">
        <v>364</v>
      </c>
      <c r="D9" s="366">
        <f t="shared" si="0"/>
        <v>8000</v>
      </c>
      <c r="E9" s="359">
        <v>8000</v>
      </c>
      <c r="F9" s="354" t="s">
        <v>733</v>
      </c>
      <c r="G9" s="108"/>
    </row>
    <row r="10" spans="2:7">
      <c r="B10" s="357" t="s">
        <v>489</v>
      </c>
      <c r="C10" s="257" t="s">
        <v>360</v>
      </c>
      <c r="D10" s="366">
        <f t="shared" si="0"/>
        <v>130</v>
      </c>
      <c r="E10" s="359">
        <f>85*1.5</f>
        <v>127.5</v>
      </c>
      <c r="F10" s="354" t="s">
        <v>750</v>
      </c>
      <c r="G10" s="108"/>
    </row>
    <row r="11" spans="2:7" ht="14">
      <c r="B11" s="357" t="s">
        <v>303</v>
      </c>
      <c r="C11" s="258" t="s">
        <v>364</v>
      </c>
      <c r="D11" s="366">
        <f t="shared" si="0"/>
        <v>7500</v>
      </c>
      <c r="E11" s="359">
        <v>7500</v>
      </c>
      <c r="F11" s="355" t="s">
        <v>485</v>
      </c>
      <c r="G11" s="108"/>
    </row>
    <row r="12" spans="2:7">
      <c r="B12" s="357" t="s">
        <v>558</v>
      </c>
      <c r="C12" s="257" t="s">
        <v>364</v>
      </c>
      <c r="D12" s="366">
        <f t="shared" si="0"/>
        <v>1000</v>
      </c>
      <c r="E12" s="359">
        <v>1000</v>
      </c>
      <c r="F12" s="354" t="s">
        <v>734</v>
      </c>
      <c r="G12" s="108"/>
    </row>
    <row r="13" spans="2:7">
      <c r="B13" s="357" t="s">
        <v>654</v>
      </c>
      <c r="C13" s="257" t="s">
        <v>646</v>
      </c>
      <c r="D13" s="366">
        <f t="shared" si="0"/>
        <v>2500</v>
      </c>
      <c r="E13" s="359">
        <v>2500</v>
      </c>
      <c r="F13" s="354" t="s">
        <v>735</v>
      </c>
      <c r="G13" s="108"/>
    </row>
    <row r="14" spans="2:7">
      <c r="B14" s="357" t="s">
        <v>651</v>
      </c>
      <c r="C14" s="257" t="s">
        <v>364</v>
      </c>
      <c r="D14" s="366">
        <f t="shared" si="0"/>
        <v>8000</v>
      </c>
      <c r="E14" s="359">
        <v>8000</v>
      </c>
      <c r="F14" s="354" t="s">
        <v>735</v>
      </c>
      <c r="G14" s="108"/>
    </row>
    <row r="15" spans="2:7">
      <c r="B15" s="357" t="s">
        <v>304</v>
      </c>
      <c r="C15" s="257" t="s">
        <v>360</v>
      </c>
      <c r="D15" s="366">
        <f t="shared" si="0"/>
        <v>50</v>
      </c>
      <c r="E15" s="359">
        <f>28*1.5</f>
        <v>42</v>
      </c>
      <c r="F15" s="354" t="s">
        <v>736</v>
      </c>
      <c r="G15" s="108"/>
    </row>
    <row r="16" spans="2:7">
      <c r="B16" s="357" t="s">
        <v>652</v>
      </c>
      <c r="C16" s="257" t="s">
        <v>364</v>
      </c>
      <c r="D16" s="366">
        <f t="shared" si="0"/>
        <v>2500</v>
      </c>
      <c r="E16" s="359">
        <v>2500</v>
      </c>
      <c r="F16" s="354"/>
      <c r="G16" s="108"/>
    </row>
    <row r="17" spans="2:7">
      <c r="B17" s="357" t="s">
        <v>306</v>
      </c>
      <c r="C17" s="257" t="s">
        <v>364</v>
      </c>
      <c r="D17" s="366">
        <f t="shared" si="0"/>
        <v>10000</v>
      </c>
      <c r="E17" s="359">
        <v>10000</v>
      </c>
      <c r="F17" s="354" t="s">
        <v>737</v>
      </c>
      <c r="G17" s="108"/>
    </row>
    <row r="18" spans="2:7">
      <c r="B18" s="357" t="s">
        <v>170</v>
      </c>
      <c r="C18" s="257" t="s">
        <v>758</v>
      </c>
      <c r="D18" s="366">
        <f t="shared" ref="D18" si="1">ROUNDUP(E18,-1)</f>
        <v>200</v>
      </c>
      <c r="E18" s="359">
        <v>200</v>
      </c>
      <c r="F18" s="109"/>
    </row>
    <row r="19" spans="2:7">
      <c r="B19" s="357" t="s">
        <v>759</v>
      </c>
      <c r="C19" s="257" t="s">
        <v>758</v>
      </c>
      <c r="D19" s="366">
        <f t="shared" si="0"/>
        <v>200</v>
      </c>
      <c r="E19" s="359">
        <v>200</v>
      </c>
      <c r="F19" s="109"/>
    </row>
    <row r="20" spans="2:7">
      <c r="B20" s="357" t="s">
        <v>655</v>
      </c>
      <c r="C20" s="257" t="s">
        <v>360</v>
      </c>
      <c r="D20" s="366">
        <f t="shared" si="0"/>
        <v>100</v>
      </c>
      <c r="E20" s="359">
        <f>66*1.5</f>
        <v>99</v>
      </c>
      <c r="F20" s="354" t="s">
        <v>744</v>
      </c>
      <c r="G20" s="108"/>
    </row>
    <row r="21" spans="2:7">
      <c r="B21" s="357" t="s">
        <v>656</v>
      </c>
      <c r="C21" s="257" t="s">
        <v>360</v>
      </c>
      <c r="D21" s="366">
        <f t="shared" si="0"/>
        <v>120</v>
      </c>
      <c r="E21" s="359">
        <f>78*1.5</f>
        <v>117</v>
      </c>
      <c r="F21" s="354" t="s">
        <v>744</v>
      </c>
      <c r="G21" s="108"/>
    </row>
    <row r="22" spans="2:7">
      <c r="B22" s="357" t="s">
        <v>657</v>
      </c>
      <c r="C22" s="257" t="s">
        <v>360</v>
      </c>
      <c r="D22" s="366">
        <f t="shared" si="0"/>
        <v>80</v>
      </c>
      <c r="E22" s="359">
        <f>+E3</f>
        <v>79.5</v>
      </c>
      <c r="F22" s="354" t="s">
        <v>744</v>
      </c>
      <c r="G22" s="108"/>
    </row>
    <row r="23" spans="2:7">
      <c r="B23" s="357" t="s">
        <v>658</v>
      </c>
      <c r="C23" s="257" t="s">
        <v>360</v>
      </c>
      <c r="D23" s="366">
        <f t="shared" si="0"/>
        <v>50</v>
      </c>
      <c r="E23" s="359">
        <f>32*1.5</f>
        <v>48</v>
      </c>
      <c r="F23" s="354" t="s">
        <v>744</v>
      </c>
      <c r="G23" s="108"/>
    </row>
    <row r="24" spans="2:7">
      <c r="B24" s="357" t="s">
        <v>659</v>
      </c>
      <c r="C24" s="257" t="s">
        <v>360</v>
      </c>
      <c r="D24" s="366">
        <f t="shared" si="0"/>
        <v>210</v>
      </c>
      <c r="E24" s="359">
        <f>138*1.5</f>
        <v>207</v>
      </c>
      <c r="F24" s="354" t="s">
        <v>749</v>
      </c>
      <c r="G24" s="108"/>
    </row>
    <row r="25" spans="2:7">
      <c r="B25" s="357" t="s">
        <v>660</v>
      </c>
      <c r="C25" s="257" t="s">
        <v>364</v>
      </c>
      <c r="D25" s="366">
        <f t="shared" si="0"/>
        <v>2500</v>
      </c>
      <c r="E25" s="359">
        <v>2500</v>
      </c>
      <c r="F25" s="354"/>
      <c r="G25" s="108"/>
    </row>
    <row r="26" spans="2:7">
      <c r="B26" s="357" t="s">
        <v>499</v>
      </c>
      <c r="C26" s="257" t="s">
        <v>360</v>
      </c>
      <c r="D26" s="366">
        <f t="shared" si="0"/>
        <v>120</v>
      </c>
      <c r="E26" s="359">
        <f>78*1.5</f>
        <v>117</v>
      </c>
      <c r="F26" s="354" t="s">
        <v>744</v>
      </c>
      <c r="G26" s="108"/>
    </row>
    <row r="27" spans="2:7">
      <c r="B27" s="357" t="s">
        <v>661</v>
      </c>
      <c r="C27" s="257" t="s">
        <v>360</v>
      </c>
      <c r="D27" s="366">
        <f t="shared" si="0"/>
        <v>130</v>
      </c>
      <c r="E27" s="359">
        <f>82*1.5</f>
        <v>123</v>
      </c>
      <c r="F27" s="354" t="s">
        <v>747</v>
      </c>
      <c r="G27" s="108"/>
    </row>
    <row r="28" spans="2:7">
      <c r="B28" s="357" t="s">
        <v>662</v>
      </c>
      <c r="C28" s="257" t="s">
        <v>364</v>
      </c>
      <c r="D28" s="366">
        <f t="shared" si="0"/>
        <v>30000</v>
      </c>
      <c r="E28" s="359">
        <v>30000</v>
      </c>
      <c r="F28" s="354" t="s">
        <v>738</v>
      </c>
      <c r="G28" s="108"/>
    </row>
    <row r="29" spans="2:7">
      <c r="B29" s="357" t="s">
        <v>663</v>
      </c>
      <c r="C29" s="257" t="s">
        <v>360</v>
      </c>
      <c r="D29" s="366">
        <f t="shared" si="0"/>
        <v>210</v>
      </c>
      <c r="E29" s="359">
        <f>138*1.5</f>
        <v>207</v>
      </c>
      <c r="F29" s="354" t="s">
        <v>749</v>
      </c>
      <c r="G29" s="108"/>
    </row>
    <row r="30" spans="2:7">
      <c r="B30" s="357" t="s">
        <v>309</v>
      </c>
      <c r="C30" s="257" t="s">
        <v>360</v>
      </c>
      <c r="D30" s="366">
        <f t="shared" si="0"/>
        <v>40</v>
      </c>
      <c r="E30" s="359">
        <f>26*1.5</f>
        <v>39</v>
      </c>
      <c r="F30" s="354" t="s">
        <v>744</v>
      </c>
      <c r="G30" s="108"/>
    </row>
    <row r="31" spans="2:7">
      <c r="B31" s="357" t="s">
        <v>664</v>
      </c>
      <c r="C31" s="257" t="s">
        <v>364</v>
      </c>
      <c r="D31" s="366">
        <f t="shared" si="0"/>
        <v>1000</v>
      </c>
      <c r="E31" s="359">
        <v>1000</v>
      </c>
      <c r="F31" s="354" t="s">
        <v>741</v>
      </c>
      <c r="G31" s="108"/>
    </row>
    <row r="32" spans="2:7">
      <c r="B32" s="360" t="s">
        <v>665</v>
      </c>
      <c r="C32" s="258" t="s">
        <v>360</v>
      </c>
      <c r="D32" s="366">
        <f t="shared" si="0"/>
        <v>200</v>
      </c>
      <c r="E32" s="359">
        <f>5*2.66*15</f>
        <v>199.5</v>
      </c>
      <c r="F32" s="353" t="s">
        <v>739</v>
      </c>
    </row>
    <row r="33" spans="2:6">
      <c r="B33" s="357" t="s">
        <v>490</v>
      </c>
      <c r="C33" s="257" t="s">
        <v>364</v>
      </c>
      <c r="D33" s="366">
        <f t="shared" si="0"/>
        <v>5000</v>
      </c>
      <c r="E33" s="359">
        <v>5000</v>
      </c>
      <c r="F33" s="354" t="s">
        <v>740</v>
      </c>
    </row>
    <row r="34" spans="2:6">
      <c r="B34" s="357" t="s">
        <v>667</v>
      </c>
      <c r="C34" s="257" t="s">
        <v>364</v>
      </c>
      <c r="D34" s="366">
        <f t="shared" si="0"/>
        <v>1000</v>
      </c>
      <c r="E34" s="358">
        <v>1000</v>
      </c>
      <c r="F34" s="353" t="s">
        <v>741</v>
      </c>
    </row>
    <row r="35" spans="2:6">
      <c r="B35" s="357" t="s">
        <v>313</v>
      </c>
      <c r="C35" s="257" t="s">
        <v>360</v>
      </c>
      <c r="D35" s="366">
        <f t="shared" si="0"/>
        <v>200</v>
      </c>
      <c r="E35" s="359">
        <f>5*2.66*15</f>
        <v>199.5</v>
      </c>
      <c r="F35" s="353" t="s">
        <v>739</v>
      </c>
    </row>
    <row r="36" spans="2:6">
      <c r="B36" s="357" t="s">
        <v>668</v>
      </c>
      <c r="C36" s="257" t="s">
        <v>364</v>
      </c>
      <c r="D36" s="366">
        <f t="shared" ref="D36:D67" si="2">ROUNDUP(E36,-1)</f>
        <v>1500</v>
      </c>
      <c r="E36" s="358">
        <v>1500</v>
      </c>
      <c r="F36" s="353" t="s">
        <v>741</v>
      </c>
    </row>
    <row r="37" spans="2:6">
      <c r="B37" s="357" t="s">
        <v>338</v>
      </c>
      <c r="C37" s="257" t="s">
        <v>364</v>
      </c>
      <c r="D37" s="366">
        <f t="shared" si="2"/>
        <v>10000</v>
      </c>
      <c r="E37" s="358">
        <v>10000</v>
      </c>
      <c r="F37" s="353" t="s">
        <v>742</v>
      </c>
    </row>
    <row r="38" spans="2:6">
      <c r="B38" s="357" t="s">
        <v>339</v>
      </c>
      <c r="C38" s="257" t="s">
        <v>364</v>
      </c>
      <c r="D38" s="366">
        <f t="shared" si="2"/>
        <v>15000</v>
      </c>
      <c r="E38" s="358">
        <v>15000</v>
      </c>
      <c r="F38" s="353" t="s">
        <v>742</v>
      </c>
    </row>
    <row r="39" spans="2:6">
      <c r="B39" s="357" t="s">
        <v>669</v>
      </c>
      <c r="C39" s="257" t="s">
        <v>364</v>
      </c>
      <c r="D39" s="366">
        <f t="shared" si="2"/>
        <v>57500</v>
      </c>
      <c r="E39" s="358">
        <f>46000*1.25</f>
        <v>57500</v>
      </c>
      <c r="F39" s="353" t="s">
        <v>757</v>
      </c>
    </row>
    <row r="40" spans="2:6">
      <c r="B40" s="357" t="s">
        <v>670</v>
      </c>
      <c r="C40" s="257" t="s">
        <v>364</v>
      </c>
      <c r="D40" s="740">
        <f t="shared" si="2"/>
        <v>53750</v>
      </c>
      <c r="E40" s="358">
        <f>43000*1.25</f>
        <v>53750</v>
      </c>
      <c r="F40" s="353" t="s">
        <v>757</v>
      </c>
    </row>
    <row r="41" spans="2:6">
      <c r="B41" s="357" t="s">
        <v>671</v>
      </c>
      <c r="C41" s="257" t="s">
        <v>364</v>
      </c>
      <c r="D41" s="740">
        <f t="shared" si="2"/>
        <v>127500</v>
      </c>
      <c r="E41" s="358">
        <f>102000*1.25</f>
        <v>127500</v>
      </c>
      <c r="F41" s="353" t="s">
        <v>757</v>
      </c>
    </row>
    <row r="42" spans="2:6">
      <c r="B42" s="357" t="s">
        <v>672</v>
      </c>
      <c r="C42" s="257" t="s">
        <v>364</v>
      </c>
      <c r="D42" s="740">
        <f t="shared" si="2"/>
        <v>127500</v>
      </c>
      <c r="E42" s="358">
        <f>102000*1.25</f>
        <v>127500</v>
      </c>
      <c r="F42" s="353" t="s">
        <v>757</v>
      </c>
    </row>
    <row r="43" spans="2:6">
      <c r="B43" s="357" t="s">
        <v>673</v>
      </c>
      <c r="C43" s="257" t="s">
        <v>364</v>
      </c>
      <c r="D43" s="740">
        <f t="shared" si="2"/>
        <v>1500</v>
      </c>
      <c r="E43" s="358">
        <v>1500</v>
      </c>
    </row>
    <row r="44" spans="2:6">
      <c r="B44" s="357" t="s">
        <v>674</v>
      </c>
      <c r="C44" s="257" t="s">
        <v>364</v>
      </c>
      <c r="D44" s="740">
        <f t="shared" si="2"/>
        <v>90190</v>
      </c>
      <c r="E44" s="358">
        <f>72150*1.25</f>
        <v>90187.5</v>
      </c>
      <c r="F44" s="353" t="s">
        <v>757</v>
      </c>
    </row>
    <row r="45" spans="2:6">
      <c r="B45" s="357" t="s">
        <v>675</v>
      </c>
      <c r="C45" s="257" t="s">
        <v>364</v>
      </c>
      <c r="D45" s="740">
        <f t="shared" si="2"/>
        <v>73750</v>
      </c>
      <c r="E45" s="358">
        <f>59000*1.25</f>
        <v>73750</v>
      </c>
      <c r="F45" s="353" t="s">
        <v>757</v>
      </c>
    </row>
    <row r="46" spans="2:6">
      <c r="B46" s="357" t="s">
        <v>676</v>
      </c>
      <c r="C46" s="257" t="s">
        <v>364</v>
      </c>
      <c r="D46" s="740">
        <f t="shared" si="2"/>
        <v>221250</v>
      </c>
      <c r="E46" s="358">
        <f>177000*1.25</f>
        <v>221250</v>
      </c>
      <c r="F46" s="353" t="s">
        <v>757</v>
      </c>
    </row>
    <row r="47" spans="2:6">
      <c r="B47" s="357" t="s">
        <v>677</v>
      </c>
      <c r="C47" s="257" t="s">
        <v>364</v>
      </c>
      <c r="D47" s="740">
        <f t="shared" si="2"/>
        <v>221250</v>
      </c>
      <c r="E47" s="358">
        <f>177000*1.25</f>
        <v>221250</v>
      </c>
      <c r="F47" s="353" t="s">
        <v>757</v>
      </c>
    </row>
    <row r="48" spans="2:6">
      <c r="B48" s="357" t="s">
        <v>678</v>
      </c>
      <c r="C48" s="257" t="s">
        <v>364</v>
      </c>
      <c r="D48" s="740">
        <f t="shared" si="2"/>
        <v>46250</v>
      </c>
      <c r="E48" s="358">
        <f>37000*1.25</f>
        <v>46250</v>
      </c>
      <c r="F48" s="353" t="s">
        <v>757</v>
      </c>
    </row>
    <row r="49" spans="2:13">
      <c r="B49" s="357" t="s">
        <v>679</v>
      </c>
      <c r="C49" s="257" t="s">
        <v>364</v>
      </c>
      <c r="D49" s="740">
        <f t="shared" si="2"/>
        <v>40000</v>
      </c>
      <c r="E49" s="358">
        <f>32000*1.25</f>
        <v>40000</v>
      </c>
      <c r="F49" s="353" t="s">
        <v>757</v>
      </c>
    </row>
    <row r="50" spans="2:13">
      <c r="B50" s="357" t="s">
        <v>680</v>
      </c>
      <c r="C50" s="257" t="s">
        <v>364</v>
      </c>
      <c r="D50" s="740">
        <f t="shared" si="2"/>
        <v>127500</v>
      </c>
      <c r="E50" s="358">
        <f>102000*1.25</f>
        <v>127500</v>
      </c>
      <c r="F50" s="353" t="s">
        <v>757</v>
      </c>
    </row>
    <row r="51" spans="2:13">
      <c r="B51" s="357" t="s">
        <v>681</v>
      </c>
      <c r="C51" s="257" t="s">
        <v>364</v>
      </c>
      <c r="D51" s="740">
        <f t="shared" si="2"/>
        <v>127500</v>
      </c>
      <c r="E51" s="358">
        <f>102000*1.25</f>
        <v>127500</v>
      </c>
      <c r="F51" s="353" t="s">
        <v>757</v>
      </c>
    </row>
    <row r="52" spans="2:13">
      <c r="B52" s="357" t="s">
        <v>682</v>
      </c>
      <c r="C52" s="257" t="s">
        <v>364</v>
      </c>
      <c r="D52" s="740">
        <f t="shared" si="2"/>
        <v>500</v>
      </c>
      <c r="E52" s="358">
        <v>500</v>
      </c>
    </row>
    <row r="53" spans="2:13">
      <c r="B53" s="357" t="s">
        <v>683</v>
      </c>
      <c r="C53" s="257" t="s">
        <v>364</v>
      </c>
      <c r="D53" s="740">
        <f t="shared" si="2"/>
        <v>27500</v>
      </c>
      <c r="E53" s="358">
        <f>22000*1.25</f>
        <v>27500</v>
      </c>
      <c r="F53" s="353" t="s">
        <v>757</v>
      </c>
    </row>
    <row r="54" spans="2:13">
      <c r="B54" s="357" t="s">
        <v>684</v>
      </c>
      <c r="C54" s="257" t="s">
        <v>364</v>
      </c>
      <c r="D54" s="740">
        <f t="shared" si="2"/>
        <v>22500</v>
      </c>
      <c r="E54" s="358">
        <f>18000*1.25</f>
        <v>22500</v>
      </c>
      <c r="F54" s="353" t="s">
        <v>757</v>
      </c>
    </row>
    <row r="55" spans="2:13">
      <c r="B55" s="357" t="s">
        <v>685</v>
      </c>
      <c r="C55" s="257" t="s">
        <v>364</v>
      </c>
      <c r="D55" s="740">
        <f t="shared" si="2"/>
        <v>87880</v>
      </c>
      <c r="E55" s="358">
        <f>70300*1.25</f>
        <v>87875</v>
      </c>
      <c r="F55" s="353" t="s">
        <v>757</v>
      </c>
    </row>
    <row r="56" spans="2:13">
      <c r="B56" s="357" t="s">
        <v>686</v>
      </c>
      <c r="C56" s="257" t="s">
        <v>364</v>
      </c>
      <c r="D56" s="740">
        <f t="shared" si="2"/>
        <v>87880</v>
      </c>
      <c r="E56" s="358">
        <f>70300*1.25</f>
        <v>87875</v>
      </c>
      <c r="F56" s="353" t="s">
        <v>757</v>
      </c>
    </row>
    <row r="57" spans="2:13">
      <c r="B57" s="357" t="s">
        <v>687</v>
      </c>
      <c r="C57" s="257" t="s">
        <v>364</v>
      </c>
      <c r="D57" s="740">
        <f t="shared" si="2"/>
        <v>35000</v>
      </c>
      <c r="E57" s="358">
        <f>28000*1.25</f>
        <v>35000</v>
      </c>
      <c r="F57" s="353" t="s">
        <v>757</v>
      </c>
    </row>
    <row r="58" spans="2:13">
      <c r="B58" s="357" t="s">
        <v>688</v>
      </c>
      <c r="C58" s="257" t="s">
        <v>364</v>
      </c>
      <c r="D58" s="740">
        <f t="shared" si="2"/>
        <v>31630</v>
      </c>
      <c r="E58" s="358">
        <f>25300*1.25</f>
        <v>31625</v>
      </c>
      <c r="F58" s="353" t="s">
        <v>757</v>
      </c>
      <c r="M58" s="111"/>
    </row>
    <row r="59" spans="2:13">
      <c r="B59" s="357" t="s">
        <v>689</v>
      </c>
      <c r="C59" s="257" t="s">
        <v>364</v>
      </c>
      <c r="D59" s="740">
        <f t="shared" si="2"/>
        <v>87880</v>
      </c>
      <c r="E59" s="358">
        <f>70300*1.25</f>
        <v>87875</v>
      </c>
      <c r="F59" s="353" t="s">
        <v>757</v>
      </c>
    </row>
    <row r="60" spans="2:13">
      <c r="B60" s="357" t="s">
        <v>690</v>
      </c>
      <c r="C60" s="257" t="s">
        <v>364</v>
      </c>
      <c r="D60" s="740">
        <f t="shared" si="2"/>
        <v>87880</v>
      </c>
      <c r="E60" s="358">
        <f>70300*1.25</f>
        <v>87875</v>
      </c>
      <c r="F60" s="353" t="s">
        <v>757</v>
      </c>
    </row>
    <row r="61" spans="2:13">
      <c r="B61" s="357" t="s">
        <v>691</v>
      </c>
      <c r="C61" s="257" t="s">
        <v>364</v>
      </c>
      <c r="D61" s="740">
        <f t="shared" si="2"/>
        <v>27500</v>
      </c>
      <c r="E61" s="358">
        <f>22000*1.25</f>
        <v>27500</v>
      </c>
      <c r="F61" s="353" t="s">
        <v>757</v>
      </c>
    </row>
    <row r="62" spans="2:13">
      <c r="B62" s="357" t="s">
        <v>692</v>
      </c>
      <c r="C62" s="257" t="s">
        <v>364</v>
      </c>
      <c r="D62" s="366">
        <f t="shared" si="2"/>
        <v>22500</v>
      </c>
      <c r="E62" s="358">
        <f>18000*1.25</f>
        <v>22500</v>
      </c>
      <c r="F62" s="353" t="s">
        <v>757</v>
      </c>
    </row>
    <row r="63" spans="2:13">
      <c r="B63" s="357" t="s">
        <v>693</v>
      </c>
      <c r="C63" s="257" t="s">
        <v>364</v>
      </c>
      <c r="D63" s="366">
        <f t="shared" si="2"/>
        <v>87880</v>
      </c>
      <c r="E63" s="358">
        <f>70300*1.25</f>
        <v>87875</v>
      </c>
      <c r="F63" s="353" t="s">
        <v>757</v>
      </c>
    </row>
    <row r="64" spans="2:13">
      <c r="B64" s="357" t="s">
        <v>694</v>
      </c>
      <c r="C64" s="257" t="s">
        <v>364</v>
      </c>
      <c r="D64" s="366">
        <f t="shared" si="2"/>
        <v>87880</v>
      </c>
      <c r="E64" s="358">
        <f>70300*1.25</f>
        <v>87875</v>
      </c>
      <c r="F64" s="353" t="s">
        <v>757</v>
      </c>
    </row>
    <row r="65" spans="2:13">
      <c r="B65" s="357" t="s">
        <v>695</v>
      </c>
      <c r="C65" s="257" t="s">
        <v>364</v>
      </c>
      <c r="D65" s="366">
        <f t="shared" si="2"/>
        <v>500</v>
      </c>
      <c r="E65" s="358">
        <v>500</v>
      </c>
    </row>
    <row r="66" spans="2:13">
      <c r="B66" s="357" t="s">
        <v>696</v>
      </c>
      <c r="C66" s="257" t="s">
        <v>364</v>
      </c>
      <c r="D66" s="366">
        <f t="shared" si="2"/>
        <v>19000</v>
      </c>
      <c r="E66" s="358">
        <f>15200*1.25</f>
        <v>19000</v>
      </c>
      <c r="F66" s="353" t="s">
        <v>757</v>
      </c>
    </row>
    <row r="67" spans="2:13">
      <c r="B67" s="357" t="s">
        <v>697</v>
      </c>
      <c r="C67" s="257" t="s">
        <v>364</v>
      </c>
      <c r="D67" s="366">
        <f t="shared" si="2"/>
        <v>15130</v>
      </c>
      <c r="E67" s="358">
        <f>12100*1.25</f>
        <v>15125</v>
      </c>
      <c r="F67" s="353" t="s">
        <v>757</v>
      </c>
    </row>
    <row r="68" spans="2:13">
      <c r="B68" s="357" t="s">
        <v>698</v>
      </c>
      <c r="C68" s="257" t="s">
        <v>364</v>
      </c>
      <c r="D68" s="366">
        <f t="shared" ref="D68:D99" si="3">ROUNDUP(E68,-1)</f>
        <v>44380</v>
      </c>
      <c r="E68" s="358">
        <f>35500*1.25</f>
        <v>44375</v>
      </c>
      <c r="F68" s="353" t="s">
        <v>757</v>
      </c>
    </row>
    <row r="69" spans="2:13">
      <c r="B69" s="357" t="s">
        <v>699</v>
      </c>
      <c r="C69" s="257" t="s">
        <v>364</v>
      </c>
      <c r="D69" s="366">
        <f t="shared" si="3"/>
        <v>44380</v>
      </c>
      <c r="E69" s="358">
        <f>35500*1.25</f>
        <v>44375</v>
      </c>
      <c r="F69" s="353" t="s">
        <v>757</v>
      </c>
    </row>
    <row r="70" spans="2:13">
      <c r="B70" s="360" t="s">
        <v>315</v>
      </c>
      <c r="C70" s="258" t="s">
        <v>364</v>
      </c>
      <c r="D70" s="366">
        <f t="shared" si="3"/>
        <v>5000</v>
      </c>
      <c r="E70" s="358">
        <v>5000</v>
      </c>
      <c r="F70" s="353" t="s">
        <v>743</v>
      </c>
    </row>
    <row r="71" spans="2:13">
      <c r="B71" s="360" t="s">
        <v>700</v>
      </c>
      <c r="C71" s="258" t="s">
        <v>360</v>
      </c>
      <c r="D71" s="366">
        <f t="shared" si="3"/>
        <v>200</v>
      </c>
      <c r="E71" s="359">
        <f>5*2.66*15</f>
        <v>199.5</v>
      </c>
      <c r="F71" s="353" t="s">
        <v>739</v>
      </c>
    </row>
    <row r="72" spans="2:13">
      <c r="B72" s="357" t="s">
        <v>701</v>
      </c>
      <c r="C72" s="257" t="s">
        <v>364</v>
      </c>
      <c r="D72" s="366">
        <f t="shared" si="3"/>
        <v>2550</v>
      </c>
      <c r="E72" s="358">
        <v>2550</v>
      </c>
    </row>
    <row r="73" spans="2:13">
      <c r="B73" s="357" t="s">
        <v>702</v>
      </c>
      <c r="C73" s="257" t="s">
        <v>364</v>
      </c>
      <c r="D73" s="366">
        <f t="shared" si="3"/>
        <v>7000</v>
      </c>
      <c r="E73" s="358">
        <v>7000</v>
      </c>
    </row>
    <row r="74" spans="2:13">
      <c r="B74" s="357" t="s">
        <v>703</v>
      </c>
      <c r="C74" s="257" t="s">
        <v>364</v>
      </c>
      <c r="D74" s="366">
        <f t="shared" si="3"/>
        <v>1850</v>
      </c>
      <c r="E74" s="358">
        <v>1850</v>
      </c>
    </row>
    <row r="75" spans="2:13">
      <c r="B75" s="357" t="s">
        <v>704</v>
      </c>
      <c r="C75" s="257" t="s">
        <v>364</v>
      </c>
      <c r="D75" s="366">
        <f t="shared" si="3"/>
        <v>5000</v>
      </c>
      <c r="E75" s="358">
        <v>5000</v>
      </c>
    </row>
    <row r="76" spans="2:13">
      <c r="B76" s="357" t="s">
        <v>705</v>
      </c>
      <c r="C76" s="257" t="s">
        <v>364</v>
      </c>
      <c r="D76" s="366">
        <f t="shared" si="3"/>
        <v>700</v>
      </c>
      <c r="E76" s="358">
        <v>700</v>
      </c>
    </row>
    <row r="77" spans="2:13">
      <c r="B77" s="360" t="s">
        <v>706</v>
      </c>
      <c r="C77" s="258" t="s">
        <v>360</v>
      </c>
      <c r="D77" s="366">
        <f t="shared" si="3"/>
        <v>10</v>
      </c>
      <c r="E77" s="359">
        <v>2</v>
      </c>
      <c r="J77" s="356" t="s">
        <v>505</v>
      </c>
      <c r="K77" s="352" t="s">
        <v>506</v>
      </c>
      <c r="M77" s="352" t="s">
        <v>484</v>
      </c>
    </row>
    <row r="78" spans="2:13">
      <c r="B78" s="357" t="s">
        <v>707</v>
      </c>
      <c r="C78" s="257" t="s">
        <v>364</v>
      </c>
      <c r="D78" s="366">
        <f t="shared" si="3"/>
        <v>150</v>
      </c>
      <c r="E78" s="358">
        <v>150</v>
      </c>
    </row>
    <row r="79" spans="2:13">
      <c r="B79" s="357" t="s">
        <v>708</v>
      </c>
      <c r="C79" s="257" t="s">
        <v>364</v>
      </c>
      <c r="D79" s="366">
        <f t="shared" si="3"/>
        <v>1550</v>
      </c>
      <c r="E79" s="358">
        <v>1550</v>
      </c>
    </row>
    <row r="80" spans="2:13">
      <c r="B80" s="357" t="s">
        <v>709</v>
      </c>
      <c r="C80" s="257" t="s">
        <v>364</v>
      </c>
      <c r="D80" s="366">
        <f t="shared" si="3"/>
        <v>1750</v>
      </c>
      <c r="E80" s="358">
        <v>1750</v>
      </c>
    </row>
    <row r="81" spans="1:6">
      <c r="B81" s="357" t="s">
        <v>710</v>
      </c>
      <c r="C81" s="257" t="s">
        <v>364</v>
      </c>
      <c r="D81" s="366">
        <f t="shared" si="3"/>
        <v>1550</v>
      </c>
      <c r="E81" s="358">
        <v>1550</v>
      </c>
    </row>
    <row r="82" spans="1:6">
      <c r="B82" s="357" t="s">
        <v>711</v>
      </c>
      <c r="C82" s="257" t="s">
        <v>364</v>
      </c>
      <c r="D82" s="366">
        <f t="shared" si="3"/>
        <v>1750</v>
      </c>
      <c r="E82" s="358">
        <v>1750</v>
      </c>
    </row>
    <row r="83" spans="1:6">
      <c r="B83" s="357" t="s">
        <v>712</v>
      </c>
      <c r="C83" s="257" t="s">
        <v>364</v>
      </c>
      <c r="D83" s="366">
        <f t="shared" si="3"/>
        <v>1250</v>
      </c>
      <c r="E83" s="358">
        <v>1250</v>
      </c>
    </row>
    <row r="84" spans="1:6">
      <c r="B84" s="357" t="s">
        <v>713</v>
      </c>
      <c r="C84" s="257" t="s">
        <v>364</v>
      </c>
      <c r="D84" s="366">
        <f t="shared" si="3"/>
        <v>1500</v>
      </c>
      <c r="E84" s="358">
        <v>1500</v>
      </c>
    </row>
    <row r="85" spans="1:6">
      <c r="B85" s="357" t="s">
        <v>714</v>
      </c>
      <c r="C85" s="257" t="s">
        <v>364</v>
      </c>
      <c r="D85" s="366">
        <f t="shared" si="3"/>
        <v>26000</v>
      </c>
      <c r="E85" s="358">
        <v>26000</v>
      </c>
    </row>
    <row r="86" spans="1:6">
      <c r="B86" s="360" t="s">
        <v>320</v>
      </c>
      <c r="C86" s="257" t="s">
        <v>360</v>
      </c>
      <c r="D86" s="366">
        <f t="shared" si="3"/>
        <v>20</v>
      </c>
      <c r="E86" s="358">
        <v>18.5</v>
      </c>
    </row>
    <row r="87" spans="1:6">
      <c r="B87" s="357" t="s">
        <v>321</v>
      </c>
      <c r="C87" s="257" t="s">
        <v>360</v>
      </c>
      <c r="D87" s="366">
        <f t="shared" si="3"/>
        <v>10</v>
      </c>
      <c r="E87" s="358">
        <v>4.91</v>
      </c>
    </row>
    <row r="88" spans="1:6">
      <c r="B88" s="360" t="s">
        <v>647</v>
      </c>
      <c r="C88" s="257" t="s">
        <v>95</v>
      </c>
      <c r="D88" s="366">
        <f t="shared" si="3"/>
        <v>10</v>
      </c>
      <c r="E88" s="358">
        <v>3</v>
      </c>
    </row>
    <row r="89" spans="1:6">
      <c r="B89" s="357" t="s">
        <v>324</v>
      </c>
      <c r="C89" s="257" t="s">
        <v>364</v>
      </c>
      <c r="D89" s="366">
        <f t="shared" si="3"/>
        <v>2500</v>
      </c>
      <c r="E89" s="358">
        <v>2500</v>
      </c>
    </row>
    <row r="90" spans="1:6">
      <c r="B90" s="357" t="s">
        <v>715</v>
      </c>
      <c r="C90" s="257" t="s">
        <v>360</v>
      </c>
      <c r="D90" s="366">
        <f t="shared" si="3"/>
        <v>70</v>
      </c>
      <c r="E90" s="358">
        <v>61</v>
      </c>
    </row>
    <row r="91" spans="1:6">
      <c r="B91" s="357" t="s">
        <v>723</v>
      </c>
      <c r="C91" s="257" t="s">
        <v>360</v>
      </c>
      <c r="D91" s="366">
        <f t="shared" si="3"/>
        <v>120</v>
      </c>
      <c r="E91" s="358">
        <f>78*1.5</f>
        <v>117</v>
      </c>
      <c r="F91" s="353" t="s">
        <v>744</v>
      </c>
    </row>
    <row r="92" spans="1:6">
      <c r="B92" s="357" t="s">
        <v>717</v>
      </c>
      <c r="C92" s="257" t="s">
        <v>364</v>
      </c>
      <c r="D92" s="366">
        <f t="shared" si="3"/>
        <v>5000</v>
      </c>
      <c r="E92" s="358">
        <v>5000</v>
      </c>
    </row>
    <row r="93" spans="1:6">
      <c r="B93" s="357" t="s">
        <v>326</v>
      </c>
      <c r="C93" s="257" t="s">
        <v>364</v>
      </c>
      <c r="D93" s="366">
        <f t="shared" si="3"/>
        <v>2000</v>
      </c>
      <c r="E93" s="358">
        <v>2000</v>
      </c>
    </row>
    <row r="94" spans="1:6">
      <c r="B94" s="357" t="s">
        <v>718</v>
      </c>
      <c r="C94" s="257" t="s">
        <v>360</v>
      </c>
      <c r="D94" s="366">
        <f t="shared" si="3"/>
        <v>10</v>
      </c>
      <c r="E94" s="358">
        <v>5.45</v>
      </c>
    </row>
    <row r="95" spans="1:6">
      <c r="A95" s="108"/>
      <c r="B95" s="360" t="s">
        <v>719</v>
      </c>
      <c r="C95" s="258" t="s">
        <v>364</v>
      </c>
      <c r="D95" s="366">
        <f t="shared" si="3"/>
        <v>130</v>
      </c>
      <c r="E95" s="359">
        <v>125</v>
      </c>
    </row>
    <row r="96" spans="1:6">
      <c r="A96" s="108"/>
      <c r="B96" s="360" t="s">
        <v>720</v>
      </c>
      <c r="C96" s="258" t="s">
        <v>364</v>
      </c>
      <c r="D96" s="366">
        <f t="shared" si="3"/>
        <v>2500</v>
      </c>
      <c r="E96" s="359">
        <v>2500</v>
      </c>
    </row>
    <row r="97" spans="1:6">
      <c r="A97" s="108"/>
      <c r="B97" s="360" t="s">
        <v>332</v>
      </c>
      <c r="C97" s="258" t="s">
        <v>364</v>
      </c>
      <c r="D97" s="366">
        <f t="shared" si="3"/>
        <v>5000</v>
      </c>
      <c r="E97" s="359">
        <v>5000</v>
      </c>
    </row>
    <row r="98" spans="1:6">
      <c r="B98" s="357" t="s">
        <v>721</v>
      </c>
      <c r="C98" s="257" t="s">
        <v>360</v>
      </c>
      <c r="D98" s="366">
        <f t="shared" si="3"/>
        <v>110</v>
      </c>
      <c r="E98" s="359">
        <f>67*1.5</f>
        <v>100.5</v>
      </c>
      <c r="F98" s="353" t="s">
        <v>751</v>
      </c>
    </row>
    <row r="99" spans="1:6">
      <c r="B99" s="357" t="s">
        <v>722</v>
      </c>
      <c r="C99" s="257" t="s">
        <v>95</v>
      </c>
      <c r="D99" s="366">
        <f t="shared" si="3"/>
        <v>10</v>
      </c>
      <c r="E99" s="358">
        <v>4</v>
      </c>
    </row>
    <row r="100" spans="1:6">
      <c r="B100" s="360" t="s">
        <v>503</v>
      </c>
      <c r="C100" s="257" t="s">
        <v>360</v>
      </c>
      <c r="D100" s="366">
        <f t="shared" ref="D100:D116" si="4">ROUNDUP(E100,-1)</f>
        <v>160</v>
      </c>
      <c r="E100" s="358">
        <v>155</v>
      </c>
    </row>
    <row r="101" spans="1:6">
      <c r="B101" s="357" t="s">
        <v>716</v>
      </c>
      <c r="C101" s="257" t="s">
        <v>360</v>
      </c>
      <c r="D101" s="366">
        <f t="shared" si="4"/>
        <v>120</v>
      </c>
      <c r="E101" s="359">
        <f>78*1.5</f>
        <v>117</v>
      </c>
      <c r="F101" s="353" t="s">
        <v>744</v>
      </c>
    </row>
    <row r="102" spans="1:6">
      <c r="B102" s="360" t="s">
        <v>335</v>
      </c>
      <c r="C102" s="257" t="s">
        <v>364</v>
      </c>
      <c r="D102" s="366">
        <f t="shared" si="4"/>
        <v>2600</v>
      </c>
      <c r="E102" s="358">
        <v>2600</v>
      </c>
    </row>
    <row r="103" spans="1:6">
      <c r="B103" s="357" t="s">
        <v>724</v>
      </c>
      <c r="C103" s="257" t="s">
        <v>360</v>
      </c>
      <c r="D103" s="366">
        <f t="shared" si="4"/>
        <v>190</v>
      </c>
      <c r="E103" s="359">
        <f>123*1.5</f>
        <v>184.5</v>
      </c>
      <c r="F103" s="353" t="s">
        <v>744</v>
      </c>
    </row>
    <row r="104" spans="1:6">
      <c r="B104" s="360" t="s">
        <v>559</v>
      </c>
      <c r="C104" s="257" t="s">
        <v>360</v>
      </c>
      <c r="D104" s="366">
        <f t="shared" si="4"/>
        <v>90</v>
      </c>
      <c r="E104" s="358">
        <v>90</v>
      </c>
    </row>
    <row r="105" spans="1:6">
      <c r="B105" s="360" t="s">
        <v>725</v>
      </c>
      <c r="C105" s="257" t="s">
        <v>364</v>
      </c>
      <c r="D105" s="366">
        <f t="shared" si="4"/>
        <v>21000</v>
      </c>
      <c r="E105" s="358">
        <v>21000</v>
      </c>
    </row>
    <row r="106" spans="1:6">
      <c r="B106" s="360" t="s">
        <v>343</v>
      </c>
      <c r="C106" s="257" t="s">
        <v>360</v>
      </c>
      <c r="D106" s="366">
        <f t="shared" si="4"/>
        <v>20</v>
      </c>
      <c r="E106" s="358">
        <v>13</v>
      </c>
    </row>
    <row r="107" spans="1:6">
      <c r="B107" s="360" t="s">
        <v>345</v>
      </c>
      <c r="C107" s="257" t="s">
        <v>360</v>
      </c>
      <c r="D107" s="366">
        <f t="shared" si="4"/>
        <v>50</v>
      </c>
      <c r="E107" s="358">
        <v>43</v>
      </c>
    </row>
    <row r="108" spans="1:6">
      <c r="B108" s="357" t="s">
        <v>727</v>
      </c>
      <c r="C108" s="257" t="s">
        <v>364</v>
      </c>
      <c r="D108" s="366">
        <f t="shared" si="4"/>
        <v>10340</v>
      </c>
      <c r="E108" s="358">
        <v>10340</v>
      </c>
    </row>
    <row r="109" spans="1:6">
      <c r="B109" s="360" t="s">
        <v>346</v>
      </c>
      <c r="C109" s="257" t="s">
        <v>360</v>
      </c>
      <c r="D109" s="366">
        <f t="shared" si="4"/>
        <v>30</v>
      </c>
      <c r="E109" s="358">
        <v>22.75</v>
      </c>
    </row>
    <row r="110" spans="1:6">
      <c r="B110" s="360" t="s">
        <v>349</v>
      </c>
      <c r="C110" s="257" t="s">
        <v>360</v>
      </c>
      <c r="D110" s="366">
        <f t="shared" si="4"/>
        <v>40</v>
      </c>
      <c r="E110" s="358">
        <v>33.5</v>
      </c>
    </row>
    <row r="111" spans="1:6">
      <c r="B111" s="357" t="s">
        <v>728</v>
      </c>
      <c r="C111" s="257" t="s">
        <v>364</v>
      </c>
      <c r="D111" s="366">
        <f t="shared" si="4"/>
        <v>9650</v>
      </c>
      <c r="E111" s="358">
        <v>9650</v>
      </c>
    </row>
    <row r="112" spans="1:6">
      <c r="B112" s="357" t="s">
        <v>729</v>
      </c>
      <c r="C112" s="257" t="s">
        <v>364</v>
      </c>
      <c r="D112" s="366">
        <f t="shared" si="4"/>
        <v>800</v>
      </c>
      <c r="E112" s="358">
        <v>800</v>
      </c>
    </row>
    <row r="113" spans="2:5">
      <c r="B113" s="360" t="s">
        <v>351</v>
      </c>
      <c r="C113" s="257" t="s">
        <v>360</v>
      </c>
      <c r="D113" s="366">
        <f t="shared" si="4"/>
        <v>40</v>
      </c>
      <c r="E113" s="358">
        <v>33.5</v>
      </c>
    </row>
    <row r="114" spans="2:5">
      <c r="B114" s="360" t="s">
        <v>357</v>
      </c>
      <c r="C114" s="257" t="s">
        <v>360</v>
      </c>
      <c r="D114" s="366">
        <f t="shared" si="4"/>
        <v>40</v>
      </c>
      <c r="E114" s="358">
        <v>33.5</v>
      </c>
    </row>
    <row r="115" spans="2:5">
      <c r="B115" s="357" t="s">
        <v>731</v>
      </c>
      <c r="C115" s="257" t="s">
        <v>364</v>
      </c>
      <c r="D115" s="366">
        <f t="shared" si="4"/>
        <v>9000</v>
      </c>
      <c r="E115" s="358">
        <v>9000</v>
      </c>
    </row>
    <row r="116" spans="2:5" ht="14" thickBot="1">
      <c r="B116" s="361" t="s">
        <v>732</v>
      </c>
      <c r="C116" s="362" t="s">
        <v>364</v>
      </c>
      <c r="D116" s="366">
        <f t="shared" si="4"/>
        <v>1000</v>
      </c>
      <c r="E116" s="363">
        <v>1000</v>
      </c>
    </row>
  </sheetData>
  <hyperlinks>
    <hyperlink ref="F11" r:id="rId1"/>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A3:C13"/>
  <sheetViews>
    <sheetView workbookViewId="0"/>
  </sheetViews>
  <sheetFormatPr baseColWidth="10" defaultColWidth="8.83203125" defaultRowHeight="14" x14ac:dyDescent="0"/>
  <cols>
    <col min="1" max="1" width="13.6640625" customWidth="1"/>
    <col min="2" max="2" width="11" customWidth="1"/>
  </cols>
  <sheetData>
    <row r="3" spans="1:3">
      <c r="A3" t="s">
        <v>60</v>
      </c>
      <c r="B3" t="s">
        <v>81</v>
      </c>
    </row>
    <row r="5" spans="1:3">
      <c r="A5" t="s">
        <v>82</v>
      </c>
      <c r="B5" t="s">
        <v>85</v>
      </c>
    </row>
    <row r="6" spans="1:3">
      <c r="C6" t="s">
        <v>80</v>
      </c>
    </row>
    <row r="7" spans="1:3">
      <c r="A7" t="s">
        <v>83</v>
      </c>
      <c r="B7" t="s">
        <v>84</v>
      </c>
    </row>
    <row r="9" spans="1:3">
      <c r="A9" t="s">
        <v>155</v>
      </c>
      <c r="B9" t="s">
        <v>84</v>
      </c>
    </row>
    <row r="11" spans="1:3">
      <c r="A11" t="s">
        <v>225</v>
      </c>
      <c r="B11" t="s">
        <v>226</v>
      </c>
    </row>
    <row r="13" spans="1:3">
      <c r="A13" t="s">
        <v>237</v>
      </c>
      <c r="B13" t="s">
        <v>238</v>
      </c>
    </row>
  </sheetData>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S74"/>
  <sheetViews>
    <sheetView topLeftCell="A49" workbookViewId="0"/>
  </sheetViews>
  <sheetFormatPr baseColWidth="10" defaultColWidth="8.83203125" defaultRowHeight="14" x14ac:dyDescent="0"/>
  <cols>
    <col min="1" max="1" width="23.5" bestFit="1" customWidth="1"/>
    <col min="7" max="7" width="18.6640625" bestFit="1" customWidth="1"/>
    <col min="8" max="8" width="14.1640625" bestFit="1" customWidth="1"/>
    <col min="15" max="15" width="27.33203125" bestFit="1" customWidth="1"/>
    <col min="16" max="16" width="11.5" bestFit="1" customWidth="1"/>
    <col min="17" max="17" width="17.5" bestFit="1" customWidth="1"/>
    <col min="18" max="18" width="17.33203125" bestFit="1" customWidth="1"/>
  </cols>
  <sheetData>
    <row r="1" spans="1:18">
      <c r="A1" t="s">
        <v>93</v>
      </c>
      <c r="B1" t="s">
        <v>94</v>
      </c>
    </row>
    <row r="2" spans="1:18">
      <c r="B2" s="1">
        <v>110000</v>
      </c>
      <c r="C2" t="s">
        <v>95</v>
      </c>
    </row>
    <row r="3" spans="1:18">
      <c r="B3">
        <v>130</v>
      </c>
      <c r="C3" t="s">
        <v>96</v>
      </c>
      <c r="G3" s="1284" t="s">
        <v>126</v>
      </c>
      <c r="H3" s="1284"/>
      <c r="J3" s="1285" t="s">
        <v>127</v>
      </c>
      <c r="K3" s="1284"/>
    </row>
    <row r="4" spans="1:18">
      <c r="B4" s="1">
        <v>20000</v>
      </c>
      <c r="C4" t="s">
        <v>97</v>
      </c>
      <c r="D4" t="s">
        <v>83</v>
      </c>
      <c r="G4" s="16"/>
      <c r="H4" s="16" t="s">
        <v>128</v>
      </c>
      <c r="J4" s="16"/>
      <c r="K4" s="16" t="s">
        <v>128</v>
      </c>
    </row>
    <row r="5" spans="1:18">
      <c r="G5" s="16"/>
      <c r="H5" s="16">
        <v>65</v>
      </c>
      <c r="J5" s="16"/>
      <c r="K5" s="16">
        <v>65</v>
      </c>
    </row>
    <row r="6" spans="1:18">
      <c r="A6" t="s">
        <v>98</v>
      </c>
      <c r="C6">
        <v>60</v>
      </c>
      <c r="D6" t="s">
        <v>99</v>
      </c>
      <c r="G6" s="16"/>
      <c r="H6" s="16">
        <v>120</v>
      </c>
      <c r="J6" s="16"/>
      <c r="K6" s="16">
        <v>120</v>
      </c>
    </row>
    <row r="7" spans="1:18">
      <c r="A7" t="s">
        <v>100</v>
      </c>
      <c r="C7">
        <f>B3*C6</f>
        <v>7800</v>
      </c>
      <c r="D7" t="s">
        <v>99</v>
      </c>
      <c r="G7" s="17"/>
      <c r="H7" s="17">
        <f>H5*H6</f>
        <v>7800</v>
      </c>
      <c r="J7" s="17"/>
      <c r="K7" s="17">
        <f>K5*K6</f>
        <v>7800</v>
      </c>
    </row>
    <row r="8" spans="1:18">
      <c r="G8" s="1286">
        <f>G7+H7</f>
        <v>7800</v>
      </c>
      <c r="H8" s="1286"/>
      <c r="J8" s="1284">
        <f>J7+K7</f>
        <v>7800</v>
      </c>
      <c r="K8" s="1284"/>
    </row>
    <row r="9" spans="1:18">
      <c r="A9" t="s">
        <v>101</v>
      </c>
      <c r="B9">
        <f>B3</f>
        <v>130</v>
      </c>
      <c r="C9">
        <v>3.6</v>
      </c>
      <c r="D9" t="s">
        <v>102</v>
      </c>
      <c r="G9" s="18" t="s">
        <v>129</v>
      </c>
      <c r="H9" s="18" t="s">
        <v>130</v>
      </c>
      <c r="J9" s="18" t="s">
        <v>129</v>
      </c>
      <c r="K9" s="18" t="s">
        <v>130</v>
      </c>
    </row>
    <row r="10" spans="1:18">
      <c r="A10" t="s">
        <v>103</v>
      </c>
      <c r="B10">
        <v>130</v>
      </c>
      <c r="C10">
        <v>2.8</v>
      </c>
      <c r="D10" t="s">
        <v>102</v>
      </c>
      <c r="G10" s="19">
        <f>1/7</f>
        <v>0.14285714285714285</v>
      </c>
      <c r="H10" s="19">
        <f>1/5</f>
        <v>0.2</v>
      </c>
      <c r="J10" s="19">
        <f>1/7</f>
        <v>0.14285714285714285</v>
      </c>
      <c r="K10" s="19">
        <f>1/5</f>
        <v>0.2</v>
      </c>
    </row>
    <row r="11" spans="1:18">
      <c r="C11">
        <f>SUM(C9:C10)</f>
        <v>6.4</v>
      </c>
      <c r="D11" t="s">
        <v>102</v>
      </c>
      <c r="G11" s="20">
        <f>G8*G10</f>
        <v>1114.2857142857142</v>
      </c>
      <c r="H11" s="20">
        <f>G8*H10</f>
        <v>1560</v>
      </c>
      <c r="J11" s="20">
        <f>J8*J10</f>
        <v>1114.2857142857142</v>
      </c>
      <c r="K11" s="20">
        <f>J8*K10</f>
        <v>1560</v>
      </c>
    </row>
    <row r="12" spans="1:18">
      <c r="C12">
        <f>C11*130</f>
        <v>832</v>
      </c>
      <c r="D12" t="s">
        <v>102</v>
      </c>
      <c r="G12" s="1287">
        <f>G11+H11</f>
        <v>2674.2857142857142</v>
      </c>
      <c r="H12" s="1287"/>
      <c r="I12" s="21" t="s">
        <v>131</v>
      </c>
      <c r="J12" s="1287">
        <f>J11+K11</f>
        <v>2674.2857142857142</v>
      </c>
      <c r="K12" s="1287"/>
      <c r="L12" s="21" t="s">
        <v>131</v>
      </c>
    </row>
    <row r="13" spans="1:18">
      <c r="C13">
        <v>182</v>
      </c>
      <c r="D13" t="s">
        <v>104</v>
      </c>
    </row>
    <row r="14" spans="1:18" ht="15" thickBot="1">
      <c r="A14" t="s">
        <v>105</v>
      </c>
      <c r="C14" t="s">
        <v>106</v>
      </c>
    </row>
    <row r="15" spans="1:18">
      <c r="G15" s="1290" t="s">
        <v>111</v>
      </c>
      <c r="H15" s="1292" t="s">
        <v>112</v>
      </c>
      <c r="I15" s="1292" t="s">
        <v>113</v>
      </c>
      <c r="J15" s="1292" t="s">
        <v>114</v>
      </c>
      <c r="K15" s="1282" t="s">
        <v>115</v>
      </c>
      <c r="L15" s="1292" t="s">
        <v>116</v>
      </c>
      <c r="M15" s="1282" t="s">
        <v>117</v>
      </c>
      <c r="N15" s="1282" t="s">
        <v>118</v>
      </c>
      <c r="O15" s="1282" t="s">
        <v>119</v>
      </c>
      <c r="P15" s="1296" t="s">
        <v>120</v>
      </c>
      <c r="Q15" s="1298" t="s">
        <v>121</v>
      </c>
      <c r="R15" s="1288" t="s">
        <v>122</v>
      </c>
    </row>
    <row r="16" spans="1:18" ht="15" thickBot="1">
      <c r="A16" t="s">
        <v>107</v>
      </c>
      <c r="G16" s="1291"/>
      <c r="H16" s="1293"/>
      <c r="I16" s="1294"/>
      <c r="J16" s="1293"/>
      <c r="K16" s="1283"/>
      <c r="L16" s="1293"/>
      <c r="M16" s="1295"/>
      <c r="N16" s="1283"/>
      <c r="O16" s="1283"/>
      <c r="P16" s="1297"/>
      <c r="Q16" s="1299"/>
      <c r="R16" s="1289"/>
    </row>
    <row r="17" spans="1:19">
      <c r="A17" s="2" t="s">
        <v>109</v>
      </c>
      <c r="B17">
        <v>75</v>
      </c>
      <c r="C17" t="s">
        <v>108</v>
      </c>
      <c r="G17" s="3">
        <v>1</v>
      </c>
      <c r="H17" s="4" t="s">
        <v>123</v>
      </c>
      <c r="I17" s="4" t="s">
        <v>124</v>
      </c>
      <c r="J17" s="22">
        <f>G12</f>
        <v>2674.2857142857142</v>
      </c>
      <c r="K17" s="5">
        <v>300</v>
      </c>
      <c r="L17" s="5">
        <v>2</v>
      </c>
      <c r="M17" s="5">
        <f>K17*L17</f>
        <v>600</v>
      </c>
      <c r="N17" s="5">
        <f>J17-M17</f>
        <v>2074.2857142857142</v>
      </c>
      <c r="O17" s="6">
        <f>N17*8.33*100</f>
        <v>1727880</v>
      </c>
      <c r="P17" s="7">
        <f>O17/2</f>
        <v>863940</v>
      </c>
      <c r="Q17" s="8">
        <v>1000000</v>
      </c>
      <c r="R17" s="9">
        <f>Q17*2</f>
        <v>2000000</v>
      </c>
    </row>
    <row r="18" spans="1:19">
      <c r="B18">
        <f>B17*50</f>
        <v>3750</v>
      </c>
      <c r="C18" t="s">
        <v>110</v>
      </c>
      <c r="G18" s="10">
        <v>2</v>
      </c>
      <c r="H18" s="11" t="s">
        <v>123</v>
      </c>
      <c r="I18" s="11" t="s">
        <v>125</v>
      </c>
      <c r="J18" s="23">
        <f>J12</f>
        <v>2674.2857142857142</v>
      </c>
      <c r="K18" s="12">
        <v>300</v>
      </c>
      <c r="L18" s="12">
        <v>2</v>
      </c>
      <c r="M18" s="12">
        <f>K18*L18</f>
        <v>600</v>
      </c>
      <c r="N18" s="12">
        <f>J18-M18</f>
        <v>2074.2857142857142</v>
      </c>
      <c r="O18" s="13">
        <f>N18*8.33*100</f>
        <v>1727880</v>
      </c>
      <c r="P18" s="14">
        <f>O18/2</f>
        <v>863940</v>
      </c>
      <c r="Q18" s="15">
        <v>1000000</v>
      </c>
      <c r="R18" s="9">
        <f>Q18*2</f>
        <v>2000000</v>
      </c>
    </row>
    <row r="19" spans="1:19">
      <c r="R19" s="1">
        <f>SUM(R17:R18)</f>
        <v>4000000</v>
      </c>
      <c r="S19" t="s">
        <v>132</v>
      </c>
    </row>
    <row r="20" spans="1:19">
      <c r="Q20" t="s">
        <v>134</v>
      </c>
      <c r="R20">
        <f>R19/1000</f>
        <v>4000</v>
      </c>
      <c r="S20" t="s">
        <v>110</v>
      </c>
    </row>
    <row r="21" spans="1:19">
      <c r="Q21" t="s">
        <v>133</v>
      </c>
      <c r="R21">
        <f>C7</f>
        <v>7800</v>
      </c>
    </row>
    <row r="22" spans="1:19">
      <c r="Q22" t="s">
        <v>135</v>
      </c>
      <c r="R22">
        <f>SUM(R20:R21)</f>
        <v>11800</v>
      </c>
      <c r="S22" t="s">
        <v>110</v>
      </c>
    </row>
    <row r="23" spans="1:19">
      <c r="Q23" t="s">
        <v>136</v>
      </c>
      <c r="R23" s="1">
        <v>1445308</v>
      </c>
    </row>
    <row r="24" spans="1:19">
      <c r="R24" s="1">
        <f>R22+R23</f>
        <v>1457108</v>
      </c>
    </row>
    <row r="43" spans="11:13">
      <c r="K43" t="s">
        <v>141</v>
      </c>
      <c r="L43" t="s">
        <v>139</v>
      </c>
      <c r="M43" t="s">
        <v>140</v>
      </c>
    </row>
    <row r="44" spans="11:13">
      <c r="K44">
        <v>50</v>
      </c>
      <c r="L44">
        <v>28</v>
      </c>
      <c r="M44">
        <v>23</v>
      </c>
    </row>
    <row r="45" spans="11:13">
      <c r="K45" t="s">
        <v>142</v>
      </c>
      <c r="L45">
        <f>K44*L44*1.2</f>
        <v>1680</v>
      </c>
      <c r="M45">
        <f>K44*M44*1.2</f>
        <v>1380</v>
      </c>
    </row>
    <row r="46" spans="11:13" ht="15" thickBot="1">
      <c r="K46" t="s">
        <v>143</v>
      </c>
      <c r="L46">
        <f>L45*0.4</f>
        <v>672</v>
      </c>
      <c r="M46">
        <f>M45*0.4</f>
        <v>552</v>
      </c>
    </row>
    <row r="47" spans="11:13">
      <c r="K47" s="1282" t="s">
        <v>119</v>
      </c>
      <c r="L47" s="6">
        <f>L45*8.33*100</f>
        <v>1399440</v>
      </c>
      <c r="M47" s="6">
        <f>M45*8.33*100</f>
        <v>1149540</v>
      </c>
    </row>
    <row r="48" spans="11:13" ht="15" thickBot="1">
      <c r="K48" s="1283"/>
      <c r="L48">
        <f>L47/1000</f>
        <v>1399.44</v>
      </c>
    </row>
    <row r="72" spans="12:13" ht="15" thickBot="1">
      <c r="L72" t="s">
        <v>142</v>
      </c>
      <c r="M72">
        <f>900</f>
        <v>900</v>
      </c>
    </row>
    <row r="73" spans="12:13">
      <c r="L73" s="1282" t="s">
        <v>119</v>
      </c>
      <c r="M73" s="6">
        <f>M72*8.33*100</f>
        <v>749700</v>
      </c>
    </row>
    <row r="74" spans="12:13" ht="15" thickBot="1">
      <c r="L74" s="1283"/>
      <c r="M74">
        <f>M73/1000</f>
        <v>749.7</v>
      </c>
    </row>
  </sheetData>
  <mergeCells count="20">
    <mergeCell ref="R15:R16"/>
    <mergeCell ref="G15:G16"/>
    <mergeCell ref="H15:H16"/>
    <mergeCell ref="I15:I16"/>
    <mergeCell ref="J15:J16"/>
    <mergeCell ref="K15:K16"/>
    <mergeCell ref="L15:L16"/>
    <mergeCell ref="M15:M16"/>
    <mergeCell ref="N15:N16"/>
    <mergeCell ref="O15:O16"/>
    <mergeCell ref="P15:P16"/>
    <mergeCell ref="Q15:Q16"/>
    <mergeCell ref="K47:K48"/>
    <mergeCell ref="L73:L74"/>
    <mergeCell ref="G3:H3"/>
    <mergeCell ref="J3:K3"/>
    <mergeCell ref="G8:H8"/>
    <mergeCell ref="J8:K8"/>
    <mergeCell ref="G12:H12"/>
    <mergeCell ref="J12:K12"/>
  </mergeCells>
  <pageMargins left="0.7" right="0.7" top="0.75" bottom="0.75" header="0.3" footer="0.3"/>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heetViews>
  <sheetFormatPr baseColWidth="10" defaultColWidth="8.83203125" defaultRowHeight="14" x14ac:dyDescent="0"/>
  <cols>
    <col min="2" max="2" width="21.5" bestFit="1" customWidth="1"/>
    <col min="3" max="3" width="22.83203125" bestFit="1" customWidth="1"/>
  </cols>
  <sheetData>
    <row r="2" spans="1:3">
      <c r="A2" t="s">
        <v>514</v>
      </c>
      <c r="B2" t="s">
        <v>553</v>
      </c>
      <c r="C2" t="s">
        <v>554</v>
      </c>
    </row>
    <row r="3" spans="1:3">
      <c r="A3" t="s">
        <v>5</v>
      </c>
      <c r="B3" t="s">
        <v>155</v>
      </c>
      <c r="C3" t="s">
        <v>144</v>
      </c>
    </row>
    <row r="4" spans="1:3">
      <c r="A4" t="s">
        <v>6</v>
      </c>
      <c r="B4" t="s">
        <v>510</v>
      </c>
      <c r="C4" t="s">
        <v>644</v>
      </c>
    </row>
    <row r="5" spans="1:3">
      <c r="A5" t="s">
        <v>7</v>
      </c>
    </row>
    <row r="6" spans="1:3">
      <c r="A6" t="s">
        <v>8</v>
      </c>
      <c r="B6" t="s">
        <v>487</v>
      </c>
      <c r="C6" t="s">
        <v>154</v>
      </c>
    </row>
    <row r="7" spans="1:3">
      <c r="A7" t="s">
        <v>11</v>
      </c>
      <c r="B7" t="s">
        <v>63</v>
      </c>
      <c r="C7" t="s">
        <v>555</v>
      </c>
    </row>
    <row r="8" spans="1:3">
      <c r="B8" t="s">
        <v>512</v>
      </c>
    </row>
    <row r="9" spans="1:3">
      <c r="B9" t="s">
        <v>513</v>
      </c>
    </row>
    <row r="10" spans="1:3">
      <c r="B10" t="s">
        <v>61</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P82"/>
  <sheetViews>
    <sheetView topLeftCell="A37" workbookViewId="0"/>
  </sheetViews>
  <sheetFormatPr baseColWidth="10" defaultColWidth="8.83203125" defaultRowHeight="13" x14ac:dyDescent="0"/>
  <cols>
    <col min="1" max="5" width="1.5" style="30" customWidth="1"/>
    <col min="6" max="6" width="120.6640625" style="30" customWidth="1"/>
    <col min="7" max="7" width="8.5" style="30" customWidth="1"/>
    <col min="8" max="16384" width="8.83203125" style="30"/>
  </cols>
  <sheetData>
    <row r="1" spans="5:16" s="269" customFormat="1">
      <c r="F1" s="270">
        <f ca="1">Cover!H13</f>
        <v>42314</v>
      </c>
      <c r="G1" s="271"/>
      <c r="H1" s="272"/>
      <c r="I1" s="273"/>
      <c r="J1" s="274"/>
      <c r="L1" s="275"/>
      <c r="N1" s="276"/>
    </row>
    <row r="2" spans="5:16" s="269" customFormat="1">
      <c r="F2" s="277" t="s">
        <v>631</v>
      </c>
      <c r="G2" s="278"/>
      <c r="H2" s="279"/>
      <c r="I2" s="280"/>
      <c r="J2" s="274"/>
      <c r="K2" s="281"/>
      <c r="L2" s="275"/>
      <c r="M2" s="282"/>
      <c r="N2" s="276"/>
      <c r="O2" s="283"/>
      <c r="P2" s="284"/>
    </row>
    <row r="3" spans="5:16" s="269" customFormat="1">
      <c r="F3" s="277" t="s">
        <v>630</v>
      </c>
      <c r="G3" s="271"/>
      <c r="H3" s="279"/>
      <c r="I3" s="280"/>
      <c r="J3" s="274"/>
      <c r="K3" s="281"/>
      <c r="L3" s="275"/>
      <c r="M3" s="282"/>
      <c r="N3" s="276"/>
      <c r="O3" s="283"/>
      <c r="P3" s="284"/>
    </row>
    <row r="4" spans="5:16" s="269" customFormat="1">
      <c r="F4" s="277" t="str">
        <f>Cover!F12</f>
        <v>ROUGH ORDER OF MAGNITUDE STATEMENT OF PROBABLE COST</v>
      </c>
      <c r="G4" s="285"/>
      <c r="H4" s="286"/>
      <c r="I4" s="280"/>
      <c r="J4" s="274"/>
      <c r="K4" s="281"/>
      <c r="L4" s="275"/>
      <c r="M4" s="282"/>
      <c r="N4" s="276"/>
      <c r="O4" s="287"/>
      <c r="P4" s="286"/>
    </row>
    <row r="5" spans="5:16" s="291" customFormat="1">
      <c r="E5" s="288"/>
      <c r="F5" s="289"/>
      <c r="G5" s="289"/>
      <c r="H5" s="290"/>
    </row>
    <row r="6" spans="5:16" s="291" customFormat="1" ht="14" thickBot="1">
      <c r="E6" s="288"/>
      <c r="F6" s="292" t="s">
        <v>588</v>
      </c>
      <c r="G6" s="289"/>
      <c r="H6" s="293"/>
    </row>
    <row r="7" spans="5:16" s="291" customFormat="1">
      <c r="E7" s="288"/>
      <c r="F7" s="294"/>
      <c r="G7" s="295"/>
    </row>
    <row r="8" spans="5:16" s="299" customFormat="1">
      <c r="E8" s="296">
        <v>1</v>
      </c>
      <c r="F8" s="297" t="s">
        <v>574</v>
      </c>
      <c r="G8" s="298"/>
    </row>
    <row r="9" spans="5:16" s="299" customFormat="1" ht="26">
      <c r="E9" s="296"/>
      <c r="F9" s="300" t="s">
        <v>632</v>
      </c>
      <c r="G9" s="298"/>
    </row>
    <row r="10" spans="5:16" s="299" customFormat="1">
      <c r="E10" s="296"/>
      <c r="F10" s="300"/>
      <c r="G10" s="298"/>
    </row>
    <row r="11" spans="5:16" s="299" customFormat="1">
      <c r="E11" s="296">
        <v>2</v>
      </c>
      <c r="F11" s="297" t="s">
        <v>589</v>
      </c>
      <c r="G11" s="298"/>
    </row>
    <row r="12" spans="5:16" s="299" customFormat="1" ht="26">
      <c r="E12" s="296"/>
      <c r="F12" s="301" t="s">
        <v>590</v>
      </c>
      <c r="G12" s="298"/>
    </row>
    <row r="13" spans="5:16" s="299" customFormat="1">
      <c r="E13" s="296"/>
      <c r="F13" s="297"/>
      <c r="G13" s="298"/>
    </row>
    <row r="14" spans="5:16" s="299" customFormat="1" ht="39">
      <c r="E14" s="296"/>
      <c r="F14" s="301" t="s">
        <v>633</v>
      </c>
      <c r="G14" s="298"/>
    </row>
    <row r="15" spans="5:16" s="299" customFormat="1">
      <c r="E15" s="296"/>
      <c r="F15" s="301"/>
      <c r="G15" s="298"/>
    </row>
    <row r="16" spans="5:16" s="299" customFormat="1" ht="26">
      <c r="E16" s="296"/>
      <c r="F16" s="301" t="s">
        <v>634</v>
      </c>
      <c r="G16" s="298"/>
    </row>
    <row r="17" spans="5:12" s="299" customFormat="1">
      <c r="E17" s="296"/>
      <c r="F17" s="301"/>
      <c r="G17" s="298"/>
    </row>
    <row r="18" spans="5:12" s="299" customFormat="1" ht="39">
      <c r="E18" s="296"/>
      <c r="F18" s="301" t="s">
        <v>591</v>
      </c>
      <c r="G18" s="298"/>
      <c r="L18" s="175"/>
    </row>
    <row r="19" spans="5:12" s="299" customFormat="1">
      <c r="E19" s="296"/>
      <c r="F19" s="300"/>
      <c r="G19" s="298"/>
      <c r="L19" s="175"/>
    </row>
    <row r="20" spans="5:12" s="299" customFormat="1" ht="26">
      <c r="E20" s="296"/>
      <c r="F20" s="300" t="s">
        <v>769</v>
      </c>
      <c r="G20" s="298"/>
      <c r="L20" s="175"/>
    </row>
    <row r="21" spans="5:12" s="299" customFormat="1">
      <c r="E21" s="296"/>
      <c r="F21" s="300"/>
      <c r="G21" s="298"/>
      <c r="L21" s="175"/>
    </row>
    <row r="22" spans="5:12" s="299" customFormat="1" ht="26">
      <c r="E22" s="296"/>
      <c r="F22" s="300" t="s">
        <v>635</v>
      </c>
      <c r="G22" s="298"/>
    </row>
    <row r="23" spans="5:12" s="299" customFormat="1">
      <c r="E23" s="296"/>
      <c r="F23" s="300"/>
      <c r="G23" s="298"/>
      <c r="K23" s="302"/>
      <c r="L23" s="175"/>
    </row>
    <row r="24" spans="5:12" s="299" customFormat="1" ht="17.25" customHeight="1">
      <c r="E24" s="296"/>
      <c r="F24" s="300" t="s">
        <v>592</v>
      </c>
      <c r="G24" s="298"/>
      <c r="K24" s="302"/>
      <c r="L24" s="175"/>
    </row>
    <row r="25" spans="5:12" s="299" customFormat="1">
      <c r="E25" s="296"/>
      <c r="F25" s="300"/>
      <c r="G25" s="298"/>
      <c r="K25" s="302"/>
      <c r="L25" s="175"/>
    </row>
    <row r="26" spans="5:12" s="299" customFormat="1">
      <c r="E26" s="296"/>
      <c r="F26" s="300" t="s">
        <v>593</v>
      </c>
      <c r="G26" s="298"/>
      <c r="K26" s="302"/>
      <c r="L26" s="175"/>
    </row>
    <row r="27" spans="5:12" s="299" customFormat="1">
      <c r="E27" s="296"/>
      <c r="F27" s="300"/>
      <c r="G27" s="298"/>
      <c r="K27" s="302"/>
      <c r="L27" s="175"/>
    </row>
    <row r="28" spans="5:12" s="299" customFormat="1">
      <c r="E28" s="296"/>
      <c r="F28" s="300" t="s">
        <v>636</v>
      </c>
      <c r="G28" s="298"/>
      <c r="K28" s="302"/>
      <c r="L28" s="175"/>
    </row>
    <row r="29" spans="5:12" s="299" customFormat="1">
      <c r="E29" s="296"/>
      <c r="F29" s="300"/>
      <c r="G29" s="298"/>
      <c r="K29" s="302"/>
      <c r="L29" s="175"/>
    </row>
    <row r="30" spans="5:12" s="299" customFormat="1">
      <c r="E30" s="296">
        <v>4</v>
      </c>
      <c r="F30" s="297" t="s">
        <v>594</v>
      </c>
      <c r="G30" s="298"/>
      <c r="K30" s="303"/>
    </row>
    <row r="31" spans="5:12" s="299" customFormat="1">
      <c r="E31" s="296"/>
      <c r="F31" s="741" t="s">
        <v>768</v>
      </c>
      <c r="G31" s="298"/>
      <c r="K31" s="303"/>
    </row>
    <row r="32" spans="5:12" s="299" customFormat="1">
      <c r="E32" s="296"/>
      <c r="F32" s="300"/>
      <c r="G32" s="298"/>
    </row>
    <row r="33" spans="5:7" s="299" customFormat="1">
      <c r="E33" s="296">
        <v>5</v>
      </c>
      <c r="F33" s="304" t="s">
        <v>595</v>
      </c>
      <c r="G33" s="298"/>
    </row>
    <row r="34" spans="5:7" s="299" customFormat="1">
      <c r="E34" s="296"/>
      <c r="F34" s="300" t="s">
        <v>596</v>
      </c>
      <c r="G34" s="298"/>
    </row>
    <row r="35" spans="5:7" s="299" customFormat="1">
      <c r="E35" s="296"/>
      <c r="F35" s="300"/>
      <c r="G35" s="298"/>
    </row>
    <row r="36" spans="5:7" s="299" customFormat="1">
      <c r="E36" s="296">
        <v>6</v>
      </c>
      <c r="F36" s="304" t="s">
        <v>597</v>
      </c>
      <c r="G36" s="298"/>
    </row>
    <row r="37" spans="5:7" s="299" customFormat="1">
      <c r="E37" s="296"/>
      <c r="F37" s="305" t="s">
        <v>637</v>
      </c>
      <c r="G37" s="306"/>
    </row>
    <row r="38" spans="5:7" s="299" customFormat="1">
      <c r="E38" s="296"/>
      <c r="F38" s="305"/>
      <c r="G38" s="306"/>
    </row>
    <row r="39" spans="5:7" s="299" customFormat="1">
      <c r="E39" s="296">
        <v>7</v>
      </c>
      <c r="F39" s="304" t="s">
        <v>598</v>
      </c>
      <c r="G39" s="298"/>
    </row>
    <row r="40" spans="5:7" s="299" customFormat="1">
      <c r="E40" s="296"/>
      <c r="F40" s="300" t="s">
        <v>599</v>
      </c>
      <c r="G40" s="298"/>
    </row>
    <row r="41" spans="5:7" s="299" customFormat="1">
      <c r="E41" s="296"/>
      <c r="F41" s="307"/>
      <c r="G41" s="308"/>
    </row>
    <row r="42" spans="5:7" s="291" customFormat="1">
      <c r="E42" s="296">
        <v>8</v>
      </c>
      <c r="F42" s="304" t="s">
        <v>600</v>
      </c>
      <c r="G42" s="308"/>
    </row>
    <row r="43" spans="5:7" s="291" customFormat="1">
      <c r="E43" s="296"/>
      <c r="F43" s="300" t="s">
        <v>638</v>
      </c>
      <c r="G43" s="309"/>
    </row>
    <row r="44" spans="5:7" s="291" customFormat="1">
      <c r="E44" s="296"/>
      <c r="F44" s="300"/>
      <c r="G44" s="310"/>
    </row>
    <row r="45" spans="5:7" s="291" customFormat="1">
      <c r="E45" s="296">
        <v>9</v>
      </c>
      <c r="F45" s="304" t="s">
        <v>601</v>
      </c>
      <c r="G45" s="308"/>
    </row>
    <row r="46" spans="5:7" s="291" customFormat="1">
      <c r="E46" s="296"/>
      <c r="F46" s="300" t="s">
        <v>602</v>
      </c>
      <c r="G46" s="309"/>
    </row>
    <row r="47" spans="5:7" s="291" customFormat="1">
      <c r="E47" s="296"/>
      <c r="F47" s="300"/>
      <c r="G47" s="308"/>
    </row>
    <row r="48" spans="5:7" s="291" customFormat="1">
      <c r="E48" s="296">
        <v>10</v>
      </c>
      <c r="F48" s="311" t="s">
        <v>575</v>
      </c>
      <c r="G48" s="308"/>
    </row>
    <row r="49" spans="5:7" s="291" customFormat="1">
      <c r="E49" s="296"/>
      <c r="F49" s="312" t="s">
        <v>603</v>
      </c>
      <c r="G49" s="308"/>
    </row>
    <row r="50" spans="5:7" s="291" customFormat="1">
      <c r="E50" s="296"/>
      <c r="F50" s="312" t="s">
        <v>604</v>
      </c>
      <c r="G50" s="308"/>
    </row>
    <row r="51" spans="5:7" s="291" customFormat="1">
      <c r="E51" s="296"/>
      <c r="F51" s="312" t="s">
        <v>605</v>
      </c>
      <c r="G51" s="308"/>
    </row>
    <row r="52" spans="5:7" s="291" customFormat="1">
      <c r="E52" s="296"/>
      <c r="F52" s="312" t="s">
        <v>606</v>
      </c>
      <c r="G52" s="308"/>
    </row>
    <row r="53" spans="5:7" s="291" customFormat="1">
      <c r="E53" s="296"/>
      <c r="F53" s="300"/>
      <c r="G53" s="298"/>
    </row>
    <row r="54" spans="5:7" s="291" customFormat="1">
      <c r="E54" s="296">
        <v>11</v>
      </c>
      <c r="F54" s="297" t="s">
        <v>607</v>
      </c>
      <c r="G54" s="298"/>
    </row>
    <row r="55" spans="5:7" s="291" customFormat="1">
      <c r="E55" s="296"/>
      <c r="F55" s="298" t="s">
        <v>608</v>
      </c>
      <c r="G55" s="298"/>
    </row>
    <row r="56" spans="5:7" s="291" customFormat="1">
      <c r="E56" s="296"/>
      <c r="F56" s="298" t="s">
        <v>609</v>
      </c>
      <c r="G56" s="298"/>
    </row>
    <row r="57" spans="5:7" s="291" customFormat="1">
      <c r="E57" s="296"/>
      <c r="F57" s="298" t="s">
        <v>610</v>
      </c>
      <c r="G57" s="298"/>
    </row>
    <row r="58" spans="5:7" s="291" customFormat="1">
      <c r="E58" s="296"/>
      <c r="F58" s="298" t="s">
        <v>611</v>
      </c>
      <c r="G58" s="298"/>
    </row>
    <row r="59" spans="5:7" s="291" customFormat="1">
      <c r="E59" s="296"/>
      <c r="F59" s="298" t="s">
        <v>612</v>
      </c>
      <c r="G59" s="298"/>
    </row>
    <row r="60" spans="5:7" s="291" customFormat="1">
      <c r="E60" s="296"/>
      <c r="F60" s="298" t="s">
        <v>613</v>
      </c>
      <c r="G60" s="298"/>
    </row>
    <row r="61" spans="5:7" s="291" customFormat="1">
      <c r="E61" s="296"/>
      <c r="F61" s="298" t="s">
        <v>614</v>
      </c>
      <c r="G61" s="298"/>
    </row>
    <row r="62" spans="5:7" s="291" customFormat="1">
      <c r="E62" s="296"/>
      <c r="F62" s="298" t="s">
        <v>615</v>
      </c>
      <c r="G62" s="298"/>
    </row>
    <row r="63" spans="5:7" s="291" customFormat="1">
      <c r="E63" s="296"/>
      <c r="F63" s="298" t="s">
        <v>616</v>
      </c>
      <c r="G63" s="298"/>
    </row>
    <row r="64" spans="5:7" s="291" customFormat="1">
      <c r="E64" s="296"/>
      <c r="F64" s="298" t="s">
        <v>641</v>
      </c>
      <c r="G64" s="298"/>
    </row>
    <row r="65" spans="5:7" s="291" customFormat="1">
      <c r="E65" s="296"/>
      <c r="F65" s="298" t="s">
        <v>639</v>
      </c>
      <c r="G65" s="298"/>
    </row>
    <row r="66" spans="5:7" s="291" customFormat="1">
      <c r="E66" s="296"/>
      <c r="F66" s="298" t="s">
        <v>640</v>
      </c>
      <c r="G66" s="298"/>
    </row>
    <row r="67" spans="5:7" s="291" customFormat="1">
      <c r="E67" s="296"/>
      <c r="F67" s="298"/>
      <c r="G67" s="298"/>
    </row>
    <row r="68" spans="5:7" s="291" customFormat="1">
      <c r="E68" s="296">
        <v>12</v>
      </c>
      <c r="F68" s="297" t="s">
        <v>617</v>
      </c>
      <c r="G68" s="298"/>
    </row>
    <row r="69" spans="5:7" s="291" customFormat="1">
      <c r="E69" s="296"/>
      <c r="F69" s="298" t="s">
        <v>618</v>
      </c>
      <c r="G69" s="298"/>
    </row>
    <row r="70" spans="5:7" s="291" customFormat="1">
      <c r="E70" s="296"/>
      <c r="F70" s="298" t="s">
        <v>619</v>
      </c>
      <c r="G70" s="298"/>
    </row>
    <row r="71" spans="5:7" s="291" customFormat="1">
      <c r="E71" s="296"/>
      <c r="F71" s="298" t="s">
        <v>620</v>
      </c>
      <c r="G71" s="298"/>
    </row>
    <row r="72" spans="5:7" s="291" customFormat="1">
      <c r="E72" s="296"/>
      <c r="F72" s="298" t="s">
        <v>621</v>
      </c>
      <c r="G72" s="298"/>
    </row>
    <row r="73" spans="5:7" s="291" customFormat="1">
      <c r="E73" s="296"/>
      <c r="F73" s="298" t="s">
        <v>622</v>
      </c>
      <c r="G73" s="298"/>
    </row>
    <row r="74" spans="5:7" s="291" customFormat="1">
      <c r="E74" s="296"/>
      <c r="F74" s="300"/>
      <c r="G74" s="298"/>
    </row>
    <row r="75" spans="5:7" s="291" customFormat="1">
      <c r="E75" s="296">
        <v>13</v>
      </c>
      <c r="F75" s="297" t="s">
        <v>623</v>
      </c>
      <c r="G75" s="298"/>
    </row>
    <row r="76" spans="5:7" s="291" customFormat="1" ht="52">
      <c r="E76" s="296"/>
      <c r="F76" s="301" t="s">
        <v>576</v>
      </c>
      <c r="G76" s="298"/>
    </row>
    <row r="77" spans="5:7" s="291" customFormat="1">
      <c r="E77" s="296"/>
      <c r="F77" s="300"/>
      <c r="G77" s="298"/>
    </row>
    <row r="78" spans="5:7" s="291" customFormat="1" hidden="1">
      <c r="E78" s="296">
        <v>15</v>
      </c>
      <c r="F78" s="297" t="s">
        <v>624</v>
      </c>
      <c r="G78" s="298"/>
    </row>
    <row r="79" spans="5:7" s="291" customFormat="1" ht="39" hidden="1">
      <c r="E79" s="296"/>
      <c r="F79" s="301" t="s">
        <v>625</v>
      </c>
      <c r="G79" s="298"/>
    </row>
    <row r="80" spans="5:7" s="291" customFormat="1" hidden="1">
      <c r="E80" s="296"/>
      <c r="F80" s="301"/>
      <c r="G80" s="298"/>
    </row>
    <row r="81" spans="5:7" s="291" customFormat="1" hidden="1">
      <c r="E81" s="296">
        <v>16</v>
      </c>
      <c r="F81" s="297" t="s">
        <v>626</v>
      </c>
      <c r="G81" s="298"/>
    </row>
    <row r="82" spans="5:7" s="291" customFormat="1" ht="26" hidden="1">
      <c r="E82" s="296"/>
      <c r="F82" s="300" t="s">
        <v>627</v>
      </c>
      <c r="G82" s="298"/>
    </row>
  </sheetData>
  <pageMargins left="0.7" right="0.7" top="0.75" bottom="0.75" header="0.3" footer="0.3"/>
  <pageSetup scale="65" orientation="portrait"/>
  <headerFooter alignWithMargins="0">
    <oddFooter>&amp;R&amp;"-,Regular"Page: &amp;P of &amp;N</oddFooter>
  </headerFooter>
  <rowBreaks count="2" manualBreakCount="2">
    <brk id="32" min="4" max="6" man="1"/>
    <brk id="77" min="4" max="6" man="1"/>
  </rowBreaks>
  <ignoredErrors>
    <ignoredError sqref="F4" unlockedFormula="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C3:C47"/>
  <sheetViews>
    <sheetView workbookViewId="0"/>
  </sheetViews>
  <sheetFormatPr baseColWidth="10" defaultColWidth="8.83203125" defaultRowHeight="13" x14ac:dyDescent="0"/>
  <cols>
    <col min="1" max="4" width="1.5" style="178" customWidth="1"/>
    <col min="5" max="5" width="1.1640625" style="178" customWidth="1"/>
    <col min="6" max="16384" width="8.83203125" style="178"/>
  </cols>
  <sheetData>
    <row r="3" spans="3:3" s="176" customFormat="1">
      <c r="C3" s="176" t="s">
        <v>628</v>
      </c>
    </row>
    <row r="43" s="177" customFormat="1"/>
    <row r="44" s="177" customFormat="1"/>
    <row r="45" s="177" customFormat="1"/>
    <row r="46" s="177" customFormat="1"/>
    <row r="47" s="177" customFormat="1"/>
  </sheetData>
  <pageMargins left="0.7" right="0.7" top="0.75" bottom="0.75" header="0.3" footer="0.3"/>
  <pageSetup scale="68" orientation="landscape" horizontalDpi="1200" verticalDpi="12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BFDFB"/>
  </sheetPr>
  <dimension ref="A1:K12"/>
  <sheetViews>
    <sheetView workbookViewId="0">
      <selection activeCell="I33" sqref="I33"/>
    </sheetView>
  </sheetViews>
  <sheetFormatPr baseColWidth="10" defaultColWidth="8.83203125" defaultRowHeight="14" x14ac:dyDescent="0"/>
  <cols>
    <col min="1" max="5" width="1.6640625" customWidth="1"/>
    <col min="6" max="6" width="20.83203125" bestFit="1" customWidth="1"/>
    <col min="8" max="8" width="10" bestFit="1" customWidth="1"/>
    <col min="9" max="9" width="9.83203125" bestFit="1" customWidth="1"/>
    <col min="10" max="10" width="11.33203125" bestFit="1" customWidth="1"/>
    <col min="11" max="11" width="13.33203125" bestFit="1" customWidth="1"/>
    <col min="15" max="17" width="9.83203125" bestFit="1" customWidth="1"/>
    <col min="18" max="19" width="11.33203125" bestFit="1" customWidth="1"/>
  </cols>
  <sheetData>
    <row r="1" spans="1:11">
      <c r="A1" s="742" t="s">
        <v>760</v>
      </c>
      <c r="B1" s="742"/>
      <c r="C1" s="742"/>
      <c r="D1" s="742"/>
      <c r="E1" s="742"/>
    </row>
    <row r="2" spans="1:11" ht="15" thickBot="1">
      <c r="F2" s="742"/>
    </row>
    <row r="3" spans="1:11">
      <c r="F3" s="752" t="s">
        <v>765</v>
      </c>
      <c r="G3" s="757" t="s">
        <v>762</v>
      </c>
      <c r="H3" s="764" t="s">
        <v>761</v>
      </c>
      <c r="I3" s="764"/>
      <c r="J3" s="764"/>
      <c r="K3" s="743" t="s">
        <v>764</v>
      </c>
    </row>
    <row r="4" spans="1:11" ht="15" thickBot="1">
      <c r="F4" s="753"/>
      <c r="G4" s="750"/>
      <c r="H4" s="761" t="s">
        <v>766</v>
      </c>
      <c r="I4" s="761" t="s">
        <v>763</v>
      </c>
      <c r="J4" s="761" t="s">
        <v>767</v>
      </c>
      <c r="K4" s="751"/>
    </row>
    <row r="5" spans="1:11">
      <c r="F5" s="754" t="str">
        <f>'Cost Matrix Tool'!B8</f>
        <v>Supermarket</v>
      </c>
      <c r="G5" s="758">
        <f>'Cost Matrix Tool'!E9</f>
        <v>12000</v>
      </c>
      <c r="H5" s="739">
        <f>'Cost Matrix Tool'!F59</f>
        <v>712744</v>
      </c>
      <c r="I5" s="744">
        <f>'Cost Matrix Tool'!F53</f>
        <v>890930</v>
      </c>
      <c r="J5" s="739">
        <f>'Cost Matrix Tool'!F56</f>
        <v>1336395</v>
      </c>
      <c r="K5" s="747">
        <f>'Cost Matrix Tool'!H53</f>
        <v>74.244166666666672</v>
      </c>
    </row>
    <row r="6" spans="1:11">
      <c r="F6" s="755" t="str">
        <f>'Cost Matrix Tool'!J8</f>
        <v>Pharmacy (L)</v>
      </c>
      <c r="G6" s="759">
        <f>'Cost Matrix Tool'!M9</f>
        <v>12000</v>
      </c>
      <c r="H6" s="737">
        <f>'Cost Matrix Tool'!N59</f>
        <v>683136</v>
      </c>
      <c r="I6" s="745">
        <f>'Cost Matrix Tool'!N53</f>
        <v>853920</v>
      </c>
      <c r="J6" s="737">
        <f>'Cost Matrix Tool'!N56</f>
        <v>1280880</v>
      </c>
      <c r="K6" s="748">
        <f>'Cost Matrix Tool'!P53</f>
        <v>71.16</v>
      </c>
    </row>
    <row r="7" spans="1:11">
      <c r="F7" s="755" t="str">
        <f>'Cost Matrix Tool'!R8</f>
        <v>Pharmacy (S)</v>
      </c>
      <c r="G7" s="759">
        <f>'Cost Matrix Tool'!U9</f>
        <v>6000</v>
      </c>
      <c r="H7" s="737">
        <f>'Cost Matrix Tool'!V59</f>
        <v>434424</v>
      </c>
      <c r="I7" s="745">
        <f>'Cost Matrix Tool'!V53</f>
        <v>543030</v>
      </c>
      <c r="J7" s="737">
        <f>'Cost Matrix Tool'!V56</f>
        <v>814545</v>
      </c>
      <c r="K7" s="748">
        <f>'Cost Matrix Tool'!X53</f>
        <v>90.504999999999995</v>
      </c>
    </row>
    <row r="8" spans="1:11">
      <c r="F8" s="755" t="str">
        <f>'Cost Matrix Tool'!Z8</f>
        <v>Health Care Center</v>
      </c>
      <c r="G8" s="759">
        <f>'Cost Matrix Tool'!AC9</f>
        <v>4000</v>
      </c>
      <c r="H8" s="737">
        <f>'Cost Matrix Tool'!AD59</f>
        <v>372936</v>
      </c>
      <c r="I8" s="745">
        <f>'Cost Matrix Tool'!AD53</f>
        <v>466170</v>
      </c>
      <c r="J8" s="737">
        <f>'Cost Matrix Tool'!AD56</f>
        <v>699255</v>
      </c>
      <c r="K8" s="748">
        <f>'Cost Matrix Tool'!AF53</f>
        <v>116.5425</v>
      </c>
    </row>
    <row r="9" spans="1:11">
      <c r="F9" s="755" t="str">
        <f>'Cost Matrix Tool'!AH8</f>
        <v>Full Service Restaurant</v>
      </c>
      <c r="G9" s="759">
        <f>'Cost Matrix Tool'!AK9</f>
        <v>4000</v>
      </c>
      <c r="H9" s="737">
        <f>'Cost Matrix Tool'!AL59</f>
        <v>527424</v>
      </c>
      <c r="I9" s="745">
        <f>'Cost Matrix Tool'!AL53</f>
        <v>659280</v>
      </c>
      <c r="J9" s="737">
        <f>'Cost Matrix Tool'!AL56</f>
        <v>988920</v>
      </c>
      <c r="K9" s="748">
        <f>'Cost Matrix Tool'!AN53</f>
        <v>164.82</v>
      </c>
    </row>
    <row r="10" spans="1:11">
      <c r="F10" s="755" t="str">
        <f>'Cost Matrix Tool'!AP8</f>
        <v>General Retail (L)</v>
      </c>
      <c r="G10" s="759">
        <f>'Cost Matrix Tool'!AS9</f>
        <v>4000</v>
      </c>
      <c r="H10" s="737">
        <f>'Cost Matrix Tool'!AT59</f>
        <v>335664</v>
      </c>
      <c r="I10" s="745">
        <f>'Cost Matrix Tool'!AT53</f>
        <v>419580</v>
      </c>
      <c r="J10" s="737">
        <f>'Cost Matrix Tool'!AT56</f>
        <v>629370</v>
      </c>
      <c r="K10" s="748">
        <f>'Cost Matrix Tool'!AV53</f>
        <v>104.895</v>
      </c>
    </row>
    <row r="11" spans="1:11">
      <c r="F11" s="755" t="str">
        <f>'Cost Matrix Tool'!AX8</f>
        <v>General Retail (S)</v>
      </c>
      <c r="G11" s="759">
        <f>'Cost Matrix Tool'!BA9</f>
        <v>2000</v>
      </c>
      <c r="H11" s="737">
        <f>'Cost Matrix Tool'!BB59</f>
        <v>233336</v>
      </c>
      <c r="I11" s="745">
        <f>'Cost Matrix Tool'!BB53</f>
        <v>291670</v>
      </c>
      <c r="J11" s="737">
        <f>'Cost Matrix Tool'!BB56</f>
        <v>437505</v>
      </c>
      <c r="K11" s="748">
        <f>'Cost Matrix Tool'!BD53</f>
        <v>145.83500000000001</v>
      </c>
    </row>
    <row r="12" spans="1:11" ht="15" thickBot="1">
      <c r="F12" s="756" t="str">
        <f>'Cost Matrix Tool'!BF8</f>
        <v>Laundromat</v>
      </c>
      <c r="G12" s="760">
        <f>'Cost Matrix Tool'!BI9</f>
        <v>2000</v>
      </c>
      <c r="H12" s="738">
        <f>'Cost Matrix Tool'!BJ59</f>
        <v>318752</v>
      </c>
      <c r="I12" s="746">
        <f>'Cost Matrix Tool'!BJ53</f>
        <v>398440</v>
      </c>
      <c r="J12" s="738">
        <f>'Cost Matrix Tool'!BJ56</f>
        <v>597660</v>
      </c>
      <c r="K12" s="749">
        <f>'Cost Matrix Tool'!BL53</f>
        <v>199.22</v>
      </c>
    </row>
  </sheetData>
  <mergeCells count="1">
    <mergeCell ref="H3:J3"/>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BFDFB"/>
  </sheetPr>
  <dimension ref="A1:BL79"/>
  <sheetViews>
    <sheetView tabSelected="1" workbookViewId="0">
      <pane ySplit="9" topLeftCell="A10" activePane="bottomLeft" state="frozen"/>
      <selection pane="bottomLeft" activeCell="B27" sqref="B27"/>
    </sheetView>
  </sheetViews>
  <sheetFormatPr baseColWidth="10" defaultColWidth="8.83203125" defaultRowHeight="13" x14ac:dyDescent="0"/>
  <cols>
    <col min="1" max="1" width="2.83203125" style="108" customWidth="1"/>
    <col min="2" max="2" width="6.1640625" style="120" customWidth="1"/>
    <col min="3" max="3" width="1.5" style="109" customWidth="1"/>
    <col min="4" max="4" width="23.1640625" style="109" customWidth="1"/>
    <col min="5" max="5" width="17" style="140" customWidth="1"/>
    <col min="6" max="6" width="20.83203125" style="140" bestFit="1" customWidth="1"/>
    <col min="7" max="7" width="17" style="140" customWidth="1"/>
    <col min="8" max="8" width="19.1640625" style="148" bestFit="1" customWidth="1"/>
    <col min="9" max="9" width="1.6640625" style="106" customWidth="1"/>
    <col min="10" max="10" width="6.1640625" style="109" customWidth="1"/>
    <col min="11" max="11" width="1.5" style="109" customWidth="1"/>
    <col min="12" max="12" width="23" style="109" customWidth="1"/>
    <col min="13" max="13" width="17" style="109" customWidth="1"/>
    <col min="14" max="14" width="21" style="109" bestFit="1" customWidth="1"/>
    <col min="15" max="15" width="17" style="109" customWidth="1"/>
    <col min="16" max="16" width="18.6640625" style="194" bestFit="1" customWidth="1"/>
    <col min="17" max="17" width="1.6640625" style="108" customWidth="1"/>
    <col min="18" max="18" width="6.1640625" style="109" customWidth="1"/>
    <col min="19" max="19" width="1.5" style="109" customWidth="1"/>
    <col min="20" max="20" width="23" style="109" customWidth="1"/>
    <col min="21" max="21" width="17" style="109" customWidth="1"/>
    <col min="22" max="22" width="20.83203125" style="109" bestFit="1" customWidth="1"/>
    <col min="23" max="23" width="17" style="109" customWidth="1"/>
    <col min="24" max="24" width="15" style="194" bestFit="1" customWidth="1"/>
    <col min="25" max="25" width="1.6640625" style="108" customWidth="1"/>
    <col min="26" max="26" width="6.1640625" style="109" customWidth="1"/>
    <col min="27" max="27" width="1.5" style="109" customWidth="1"/>
    <col min="28" max="28" width="23" style="109" customWidth="1"/>
    <col min="29" max="29" width="17" style="109" customWidth="1"/>
    <col min="30" max="30" width="20.83203125" style="109" bestFit="1" customWidth="1"/>
    <col min="31" max="31" width="17" style="109" customWidth="1"/>
    <col min="32" max="32" width="15" style="194" bestFit="1" customWidth="1"/>
    <col min="33" max="33" width="1.6640625" style="108" customWidth="1"/>
    <col min="34" max="34" width="6.1640625" style="109" customWidth="1"/>
    <col min="35" max="35" width="1.5" style="109" customWidth="1"/>
    <col min="36" max="36" width="23" style="109" customWidth="1"/>
    <col min="37" max="37" width="17" style="109" customWidth="1"/>
    <col min="38" max="38" width="20.83203125" style="109" bestFit="1" customWidth="1"/>
    <col min="39" max="39" width="17" style="109" customWidth="1"/>
    <col min="40" max="40" width="17" style="194" customWidth="1"/>
    <col min="41" max="41" width="1.6640625" style="108" customWidth="1"/>
    <col min="42" max="42" width="7.5" style="109" customWidth="1"/>
    <col min="43" max="43" width="1.5" style="109" customWidth="1"/>
    <col min="44" max="44" width="22.6640625" style="109" customWidth="1"/>
    <col min="45" max="45" width="17.5" style="109" customWidth="1"/>
    <col min="46" max="46" width="20.83203125" style="109" bestFit="1" customWidth="1"/>
    <col min="47" max="47" width="17.5" style="109" customWidth="1"/>
    <col min="48" max="48" width="17.5" style="194" customWidth="1"/>
    <col min="49" max="49" width="1.6640625" style="108" customWidth="1"/>
    <col min="50" max="50" width="7.5" style="109" customWidth="1"/>
    <col min="51" max="51" width="1.5" style="109" customWidth="1"/>
    <col min="52" max="52" width="22.6640625" style="109" customWidth="1"/>
    <col min="53" max="53" width="17.5" style="109" customWidth="1"/>
    <col min="54" max="54" width="19.5" style="109" bestFit="1" customWidth="1"/>
    <col min="55" max="55" width="17.5" style="109" customWidth="1"/>
    <col min="56" max="56" width="17.5" style="194" customWidth="1"/>
    <col min="57" max="57" width="1.6640625" style="108" customWidth="1"/>
    <col min="58" max="58" width="7.5" style="109" customWidth="1"/>
    <col min="59" max="59" width="1.5" style="109" customWidth="1"/>
    <col min="60" max="60" width="22.6640625" style="109" customWidth="1"/>
    <col min="61" max="61" width="17.5" style="109" customWidth="1"/>
    <col min="62" max="62" width="19.5" style="109" bestFit="1" customWidth="1"/>
    <col min="63" max="63" width="17.5" style="109" customWidth="1"/>
    <col min="64" max="64" width="17.5" style="194" customWidth="1"/>
    <col min="65" max="16384" width="8.83203125" style="109"/>
  </cols>
  <sheetData>
    <row r="1" spans="2:64" ht="15" customHeight="1">
      <c r="B1" s="138" t="s">
        <v>562</v>
      </c>
      <c r="C1" s="110"/>
    </row>
    <row r="2" spans="2:64" ht="17.25" customHeight="1" thickBot="1">
      <c r="B2" s="139"/>
    </row>
    <row r="3" spans="2:64" s="108" customFormat="1">
      <c r="B3" s="820" t="s">
        <v>564</v>
      </c>
      <c r="C3" s="821"/>
      <c r="D3" s="821"/>
      <c r="E3" s="821"/>
      <c r="F3" s="821"/>
      <c r="G3" s="821"/>
      <c r="H3" s="821"/>
      <c r="I3" s="821"/>
      <c r="J3" s="821"/>
      <c r="K3" s="821"/>
      <c r="L3" s="821"/>
      <c r="M3" s="821"/>
      <c r="N3" s="821"/>
      <c r="O3" s="821"/>
      <c r="P3" s="821"/>
      <c r="Q3" s="821"/>
      <c r="R3" s="821"/>
      <c r="S3" s="821"/>
      <c r="T3" s="821"/>
      <c r="U3" s="822"/>
      <c r="V3" s="220"/>
      <c r="W3" s="220"/>
      <c r="X3" s="196"/>
      <c r="AF3" s="195"/>
      <c r="AN3" s="195"/>
      <c r="AV3" s="195"/>
      <c r="BD3" s="195"/>
      <c r="BL3" s="195"/>
    </row>
    <row r="4" spans="2:64" s="108" customFormat="1">
      <c r="B4" s="823" t="s">
        <v>571</v>
      </c>
      <c r="C4" s="824"/>
      <c r="D4" s="824"/>
      <c r="E4" s="824"/>
      <c r="F4" s="824"/>
      <c r="G4" s="824"/>
      <c r="H4" s="824"/>
      <c r="I4" s="824"/>
      <c r="J4" s="824"/>
      <c r="K4" s="824"/>
      <c r="L4" s="824"/>
      <c r="M4" s="824"/>
      <c r="N4" s="824"/>
      <c r="O4" s="824"/>
      <c r="P4" s="824"/>
      <c r="Q4" s="824"/>
      <c r="R4" s="824"/>
      <c r="S4" s="824"/>
      <c r="T4" s="824"/>
      <c r="U4" s="825"/>
      <c r="V4" s="220"/>
      <c r="W4" s="220"/>
      <c r="X4" s="196"/>
      <c r="AF4" s="195"/>
      <c r="AN4" s="195"/>
      <c r="AV4" s="195"/>
      <c r="BD4" s="195"/>
      <c r="BL4" s="195"/>
    </row>
    <row r="5" spans="2:64" s="108" customFormat="1">
      <c r="B5" s="823" t="s">
        <v>645</v>
      </c>
      <c r="C5" s="824"/>
      <c r="D5" s="824"/>
      <c r="E5" s="824"/>
      <c r="F5" s="824"/>
      <c r="G5" s="824"/>
      <c r="H5" s="824"/>
      <c r="I5" s="824"/>
      <c r="J5" s="824"/>
      <c r="K5" s="824"/>
      <c r="L5" s="824"/>
      <c r="M5" s="824"/>
      <c r="N5" s="824"/>
      <c r="O5" s="824"/>
      <c r="P5" s="824"/>
      <c r="Q5" s="824"/>
      <c r="R5" s="824"/>
      <c r="S5" s="824"/>
      <c r="T5" s="824"/>
      <c r="U5" s="825"/>
      <c r="V5" s="220"/>
      <c r="W5" s="220"/>
      <c r="X5" s="196"/>
      <c r="AF5" s="195"/>
      <c r="AN5" s="195"/>
      <c r="AV5" s="195"/>
      <c r="BD5" s="195"/>
      <c r="BL5" s="195"/>
    </row>
    <row r="6" spans="2:64" s="108" customFormat="1" ht="14" thickBot="1">
      <c r="B6" s="844" t="s">
        <v>565</v>
      </c>
      <c r="C6" s="845"/>
      <c r="D6" s="845"/>
      <c r="E6" s="845"/>
      <c r="F6" s="845"/>
      <c r="G6" s="845"/>
      <c r="H6" s="845"/>
      <c r="I6" s="845"/>
      <c r="J6" s="845"/>
      <c r="K6" s="845"/>
      <c r="L6" s="845"/>
      <c r="M6" s="845"/>
      <c r="N6" s="845"/>
      <c r="O6" s="845"/>
      <c r="P6" s="845"/>
      <c r="Q6" s="845"/>
      <c r="R6" s="845"/>
      <c r="S6" s="845"/>
      <c r="T6" s="845"/>
      <c r="U6" s="846"/>
      <c r="V6" s="220"/>
      <c r="W6" s="220"/>
      <c r="X6" s="196"/>
      <c r="AF6" s="195"/>
      <c r="AN6" s="195"/>
      <c r="AV6" s="195"/>
      <c r="BD6" s="195"/>
      <c r="BL6" s="195"/>
    </row>
    <row r="7" spans="2:64" ht="6" customHeight="1" thickBot="1">
      <c r="K7" s="111">
        <f>+PharmacyL!J10</f>
        <v>24000</v>
      </c>
      <c r="S7" s="111">
        <f>+PharmacyL!N10</f>
        <v>0</v>
      </c>
      <c r="AA7" s="111">
        <f>+PharmacyL!R10</f>
        <v>0</v>
      </c>
      <c r="AI7" s="111">
        <f>+PharmacyL!V10</f>
        <v>0</v>
      </c>
      <c r="AQ7" s="111">
        <f>+PharmacyL!Z10</f>
        <v>0</v>
      </c>
      <c r="AY7" s="111">
        <f>+PharmacyL!AD10</f>
        <v>0</v>
      </c>
      <c r="BG7" s="111">
        <f>+PharmacyL!AH10</f>
        <v>0</v>
      </c>
    </row>
    <row r="8" spans="2:64" ht="15" customHeight="1">
      <c r="B8" s="849" t="s">
        <v>155</v>
      </c>
      <c r="C8" s="850"/>
      <c r="D8" s="850"/>
      <c r="E8" s="141" t="s">
        <v>570</v>
      </c>
      <c r="F8" s="213"/>
      <c r="G8" s="213"/>
      <c r="H8" s="847" t="s">
        <v>569</v>
      </c>
      <c r="I8" s="91"/>
      <c r="J8" s="861" t="s">
        <v>510</v>
      </c>
      <c r="K8" s="862"/>
      <c r="L8" s="862"/>
      <c r="M8" s="197" t="s">
        <v>570</v>
      </c>
      <c r="N8" s="218"/>
      <c r="O8" s="197"/>
      <c r="P8" s="865" t="s">
        <v>569</v>
      </c>
      <c r="Q8" s="91"/>
      <c r="R8" s="871" t="s">
        <v>511</v>
      </c>
      <c r="S8" s="872"/>
      <c r="T8" s="872"/>
      <c r="U8" s="198" t="s">
        <v>570</v>
      </c>
      <c r="V8" s="198"/>
      <c r="W8" s="198"/>
      <c r="X8" s="943" t="s">
        <v>569</v>
      </c>
      <c r="Y8" s="91"/>
      <c r="Z8" s="816" t="s">
        <v>487</v>
      </c>
      <c r="AA8" s="817"/>
      <c r="AB8" s="817"/>
      <c r="AC8" s="199" t="s">
        <v>570</v>
      </c>
      <c r="AD8" s="199"/>
      <c r="AE8" s="199"/>
      <c r="AF8" s="945" t="s">
        <v>569</v>
      </c>
      <c r="AG8" s="91"/>
      <c r="AH8" s="905" t="s">
        <v>63</v>
      </c>
      <c r="AI8" s="906"/>
      <c r="AJ8" s="906"/>
      <c r="AK8" s="200" t="s">
        <v>570</v>
      </c>
      <c r="AL8" s="200"/>
      <c r="AM8" s="200"/>
      <c r="AN8" s="913" t="s">
        <v>569</v>
      </c>
      <c r="AO8" s="91"/>
      <c r="AP8" s="909" t="s">
        <v>512</v>
      </c>
      <c r="AQ8" s="910"/>
      <c r="AR8" s="910"/>
      <c r="AS8" s="134" t="s">
        <v>570</v>
      </c>
      <c r="AT8" s="134"/>
      <c r="AU8" s="134"/>
      <c r="AV8" s="915" t="s">
        <v>569</v>
      </c>
      <c r="AW8" s="91"/>
      <c r="AX8" s="901" t="s">
        <v>513</v>
      </c>
      <c r="AY8" s="902"/>
      <c r="AZ8" s="902"/>
      <c r="BA8" s="201" t="s">
        <v>570</v>
      </c>
      <c r="BB8" s="201"/>
      <c r="BC8" s="201"/>
      <c r="BD8" s="885" t="s">
        <v>569</v>
      </c>
      <c r="BE8" s="91"/>
      <c r="BF8" s="881" t="s">
        <v>61</v>
      </c>
      <c r="BG8" s="882"/>
      <c r="BH8" s="882"/>
      <c r="BI8" s="202" t="s">
        <v>570</v>
      </c>
      <c r="BJ8" s="202"/>
      <c r="BK8" s="202"/>
      <c r="BL8" s="887" t="s">
        <v>569</v>
      </c>
    </row>
    <row r="9" spans="2:64" ht="15" customHeight="1">
      <c r="B9" s="851"/>
      <c r="C9" s="852"/>
      <c r="D9" s="852"/>
      <c r="E9" s="216">
        <v>12000</v>
      </c>
      <c r="F9" s="214"/>
      <c r="G9" s="214"/>
      <c r="H9" s="848"/>
      <c r="I9" s="91"/>
      <c r="J9" s="863"/>
      <c r="K9" s="864"/>
      <c r="L9" s="864"/>
      <c r="M9" s="215">
        <v>12000</v>
      </c>
      <c r="N9" s="129"/>
      <c r="O9" s="217"/>
      <c r="P9" s="866"/>
      <c r="Q9" s="91"/>
      <c r="R9" s="873"/>
      <c r="S9" s="874"/>
      <c r="T9" s="874"/>
      <c r="U9" s="131">
        <v>6000</v>
      </c>
      <c r="V9" s="131"/>
      <c r="W9" s="131"/>
      <c r="X9" s="944"/>
      <c r="Y9" s="91"/>
      <c r="Z9" s="818"/>
      <c r="AA9" s="819"/>
      <c r="AB9" s="819"/>
      <c r="AC9" s="132">
        <v>4000</v>
      </c>
      <c r="AD9" s="132"/>
      <c r="AE9" s="132"/>
      <c r="AF9" s="946"/>
      <c r="AG9" s="91"/>
      <c r="AH9" s="907"/>
      <c r="AI9" s="908"/>
      <c r="AJ9" s="908"/>
      <c r="AK9" s="133">
        <v>4000</v>
      </c>
      <c r="AL9" s="133"/>
      <c r="AM9" s="133"/>
      <c r="AN9" s="914"/>
      <c r="AO9" s="91"/>
      <c r="AP9" s="911"/>
      <c r="AQ9" s="912"/>
      <c r="AR9" s="912"/>
      <c r="AS9" s="135">
        <v>4000</v>
      </c>
      <c r="AT9" s="135"/>
      <c r="AU9" s="135"/>
      <c r="AV9" s="916"/>
      <c r="AW9" s="91"/>
      <c r="AX9" s="903"/>
      <c r="AY9" s="904"/>
      <c r="AZ9" s="904"/>
      <c r="BA9" s="137">
        <v>2000</v>
      </c>
      <c r="BB9" s="137"/>
      <c r="BC9" s="137"/>
      <c r="BD9" s="886"/>
      <c r="BE9" s="91"/>
      <c r="BF9" s="883"/>
      <c r="BG9" s="884"/>
      <c r="BH9" s="884"/>
      <c r="BI9" s="136">
        <v>2000</v>
      </c>
      <c r="BJ9" s="136"/>
      <c r="BK9" s="136"/>
      <c r="BL9" s="888"/>
    </row>
    <row r="10" spans="2:64" ht="15" customHeight="1">
      <c r="B10" s="124">
        <v>1</v>
      </c>
      <c r="C10" s="112" t="s">
        <v>28</v>
      </c>
      <c r="D10" s="90"/>
      <c r="E10" s="142"/>
      <c r="F10" s="142"/>
      <c r="G10" s="142"/>
      <c r="H10" s="149"/>
      <c r="I10" s="113"/>
      <c r="J10" s="124">
        <v>1</v>
      </c>
      <c r="K10" s="112" t="s">
        <v>28</v>
      </c>
      <c r="L10" s="90"/>
      <c r="M10" s="121"/>
      <c r="N10" s="121"/>
      <c r="O10" s="121"/>
      <c r="P10" s="149"/>
      <c r="Q10" s="113"/>
      <c r="R10" s="124">
        <v>1</v>
      </c>
      <c r="S10" s="112" t="s">
        <v>28</v>
      </c>
      <c r="T10" s="90"/>
      <c r="U10" s="121"/>
      <c r="V10" s="121"/>
      <c r="W10" s="121"/>
      <c r="X10" s="149"/>
      <c r="Y10" s="113"/>
      <c r="Z10" s="124">
        <v>1</v>
      </c>
      <c r="AA10" s="112" t="s">
        <v>28</v>
      </c>
      <c r="AB10" s="90"/>
      <c r="AC10" s="121"/>
      <c r="AD10" s="121"/>
      <c r="AE10" s="121"/>
      <c r="AF10" s="149"/>
      <c r="AG10" s="113"/>
      <c r="AH10" s="124">
        <v>1</v>
      </c>
      <c r="AI10" s="112" t="s">
        <v>28</v>
      </c>
      <c r="AJ10" s="90"/>
      <c r="AK10" s="121"/>
      <c r="AL10" s="121"/>
      <c r="AM10" s="121"/>
      <c r="AN10" s="149"/>
      <c r="AO10" s="113"/>
      <c r="AP10" s="124">
        <v>1</v>
      </c>
      <c r="AQ10" s="112" t="s">
        <v>28</v>
      </c>
      <c r="AR10" s="90"/>
      <c r="AS10" s="121"/>
      <c r="AT10" s="121"/>
      <c r="AU10" s="121"/>
      <c r="AV10" s="149"/>
      <c r="AW10" s="113"/>
      <c r="AX10" s="124">
        <v>1</v>
      </c>
      <c r="AY10" s="112" t="s">
        <v>28</v>
      </c>
      <c r="AZ10" s="90"/>
      <c r="BA10" s="121"/>
      <c r="BB10" s="121"/>
      <c r="BC10" s="121"/>
      <c r="BD10" s="149"/>
      <c r="BE10" s="113"/>
      <c r="BF10" s="124">
        <v>1</v>
      </c>
      <c r="BG10" s="112" t="s">
        <v>28</v>
      </c>
      <c r="BH10" s="90"/>
      <c r="BI10" s="121"/>
      <c r="BJ10" s="121"/>
      <c r="BK10" s="121"/>
      <c r="BL10" s="149"/>
    </row>
    <row r="11" spans="2:64" ht="15" customHeight="1">
      <c r="B11" s="722">
        <v>1.1000000000000001</v>
      </c>
      <c r="C11" s="536" t="s">
        <v>0</v>
      </c>
      <c r="D11" s="536"/>
      <c r="E11" s="618" t="s">
        <v>642</v>
      </c>
      <c r="F11" s="618"/>
      <c r="G11" s="618" t="s">
        <v>643</v>
      </c>
      <c r="H11" s="723"/>
      <c r="I11" s="114"/>
      <c r="J11" s="722">
        <v>1.1000000000000001</v>
      </c>
      <c r="K11" s="536" t="s">
        <v>0</v>
      </c>
      <c r="L11" s="536"/>
      <c r="M11" s="618" t="s">
        <v>642</v>
      </c>
      <c r="N11" s="618"/>
      <c r="O11" s="618" t="s">
        <v>643</v>
      </c>
      <c r="P11" s="723"/>
      <c r="Q11" s="114"/>
      <c r="R11" s="722">
        <v>1.1000000000000001</v>
      </c>
      <c r="S11" s="536" t="s">
        <v>0</v>
      </c>
      <c r="T11" s="536"/>
      <c r="U11" s="618" t="s">
        <v>642</v>
      </c>
      <c r="V11" s="618"/>
      <c r="W11" s="618" t="s">
        <v>643</v>
      </c>
      <c r="X11" s="723"/>
      <c r="Y11" s="114"/>
      <c r="Z11" s="722">
        <v>1.1000000000000001</v>
      </c>
      <c r="AA11" s="536" t="s">
        <v>0</v>
      </c>
      <c r="AB11" s="536"/>
      <c r="AC11" s="618" t="s">
        <v>642</v>
      </c>
      <c r="AD11" s="618"/>
      <c r="AE11" s="618" t="s">
        <v>643</v>
      </c>
      <c r="AF11" s="723"/>
      <c r="AG11" s="114"/>
      <c r="AH11" s="722">
        <v>1.1000000000000001</v>
      </c>
      <c r="AI11" s="536" t="s">
        <v>0</v>
      </c>
      <c r="AJ11" s="536"/>
      <c r="AK11" s="618" t="s">
        <v>642</v>
      </c>
      <c r="AL11" s="618"/>
      <c r="AM11" s="618" t="s">
        <v>643</v>
      </c>
      <c r="AN11" s="723"/>
      <c r="AO11" s="114"/>
      <c r="AP11" s="722">
        <v>1.1000000000000001</v>
      </c>
      <c r="AQ11" s="536" t="s">
        <v>0</v>
      </c>
      <c r="AR11" s="536"/>
      <c r="AS11" s="618" t="s">
        <v>642</v>
      </c>
      <c r="AT11" s="618"/>
      <c r="AU11" s="618" t="s">
        <v>643</v>
      </c>
      <c r="AV11" s="723"/>
      <c r="AW11" s="114"/>
      <c r="AX11" s="722">
        <v>1.1000000000000001</v>
      </c>
      <c r="AY11" s="536" t="s">
        <v>0</v>
      </c>
      <c r="AZ11" s="536"/>
      <c r="BA11" s="618" t="s">
        <v>642</v>
      </c>
      <c r="BB11" s="618"/>
      <c r="BC11" s="618" t="s">
        <v>643</v>
      </c>
      <c r="BD11" s="723"/>
      <c r="BE11" s="114"/>
      <c r="BF11" s="722">
        <v>1.1000000000000001</v>
      </c>
      <c r="BG11" s="536" t="s">
        <v>0</v>
      </c>
      <c r="BH11" s="536"/>
      <c r="BI11" s="618" t="s">
        <v>642</v>
      </c>
      <c r="BJ11" s="618"/>
      <c r="BK11" s="618" t="s">
        <v>643</v>
      </c>
      <c r="BL11" s="723"/>
    </row>
    <row r="12" spans="2:64">
      <c r="B12" s="809" t="s">
        <v>5</v>
      </c>
      <c r="C12" s="810"/>
      <c r="D12" s="204" t="s">
        <v>144</v>
      </c>
      <c r="E12" s="143">
        <f>+IF(B12="a",IF(D12="Developer",Supermarket!K10,IF(D12="Developer + Either Party",Supermarket!K10+Supermarket!K14)),IF(B12="b",IF(D12="Developer",Supermarket!K16,IF(D12="Developer + Either Party",Supermarket!K17+Supermarket!K16)),IF(B12="c",IF(D12="Developer",Supermarket!K19,IF(D12="Developer + Either Party",Supermarket!K19+Supermarket!K24)),IF(D12="Developer",Supermarket!K26,IF(D12="Developer + Either Party",Supermarket!K29+Supermarket!K26)))))</f>
        <v>166500</v>
      </c>
      <c r="F12" s="143" t="str">
        <f>+IF(D12="Developer","Tenant + Either party",IF(D12="Developer + Either party","Tenant"))</f>
        <v>Tenant + Either party</v>
      </c>
      <c r="G12" s="143">
        <f>+IF($B12="a",IF(F12="Tenant",Supermarket!K15,Supermarket!K15+Supermarket!K14),IF($B12="b",IF(F12="Tenant",Supermarket!K18,Supermarket!K18+Supermarket!K17),IF($B12="c",IF(F12="Tenant",Supermarket!K25,Supermarket!K24+Supermarket!K25),IF(F12="Tenant",Supermarket!K30,Supermarket!K30+Supermarket!K29))))</f>
        <v>48000</v>
      </c>
      <c r="H12" s="150">
        <f>+SUM(G12,E12)/$E$9</f>
        <v>17.875</v>
      </c>
      <c r="J12" s="809" t="s">
        <v>8</v>
      </c>
      <c r="K12" s="810"/>
      <c r="L12" s="204" t="s">
        <v>144</v>
      </c>
      <c r="M12" s="143">
        <f>+IF(J12="a",IF(L12="Developer",PharmacyL!K10,IF(L12="Developer + Either Party",PharmacyL!K10+PharmacyL!K14)),IF(J12="b",IF(L12="Developer",PharmacyL!K16,IF(L12="Developer + Either Party",PharmacyL!K17+PharmacyL!K16)),IF(J12="c",IF(L12="Developer",PharmacyL!K19,IF(L12="Developer + Either Party",PharmacyL!K19+PharmacyL!K20)),IF(J12="d",(IF(L12="Developer",PharmacyL!K22,IF(L12="Developer + Either Party",PharmacyL!K22+PharmacyL!K25)))))))</f>
        <v>12500</v>
      </c>
      <c r="N12" s="143" t="str">
        <f>+IF(L12="Developer","Tenant + Either party",IF(L12="Developer + Either party","Tenant"))</f>
        <v>Tenant + Either party</v>
      </c>
      <c r="O12" s="143">
        <f>+IF($J12="a",IF(N12="Tenant",PharmacyL!K15,PharmacyL!K15+PharmacyL!K14),IF($J12="b",IF(N12="Tenant",PharmacyL!K18,PharmacyL!K18+PharmacyL!K17),IF($J12="c",IF(N12="Tenant",PharmacyL!K21,PharmacyL!K21+PharmacyL!K20),IF(N12="Tenant",PharmacyL!K26,PharmacyL!K26+PharmacyL!K25))))</f>
        <v>96000</v>
      </c>
      <c r="P12" s="150">
        <f>+SUM(O12,M12)/$M$9</f>
        <v>9.0416666666666661</v>
      </c>
      <c r="Q12" s="106"/>
      <c r="R12" s="809" t="s">
        <v>8</v>
      </c>
      <c r="S12" s="810"/>
      <c r="T12" s="204" t="s">
        <v>144</v>
      </c>
      <c r="U12" s="143">
        <f>+IF(R12="a",IF(T12="Developer",PharmacyS!K10,IF(T12="Developer + Either Party",PharmacyS!K10+PharmacyS!K14)),IF(R12="b",IF(T12="Developer",PharmacyS!K16,IF(T12="Developer + Either Party",PharmacyS!K17+PharmacyS!K16)),IF(R12="c",IF(T12="Developer",PharmacyS!K19,IF(T12="Developer + Either Party",PharmacyS!K19+PharmacyS!K20)),IF(T12="Developer",PharmacyS!K22,IF(T12="Developer + Either Party",PharmacyS!K22+PharmacyS!K25)))))</f>
        <v>12500</v>
      </c>
      <c r="V12" s="143" t="str">
        <f>+IF(T12="Developer","Tenant + Either party",IF(T12="Developer + Either party","Tenant"))</f>
        <v>Tenant + Either party</v>
      </c>
      <c r="W12" s="143">
        <f>+IF(R12="a",IF(V12="Tenant",PharmacyS!K15,PharmacyS!K15+PharmacyS!K14),IF(R12="b",IF(V12="Tenant",PharmacyS!K18,PharmacyS!K18+PharmacyS!K17),IF(R12="c",IF(V12="Tenant",PharmacyS!K21,PharmacyS!K21+PharmacyS!K20),IF(V12="Tenant",PharmacyS!K26,PharmacyS!K26+PharmacyS!K25))))</f>
        <v>48000</v>
      </c>
      <c r="X12" s="150">
        <f>+SUM(W12,U12)/$U$9</f>
        <v>10.083333333333334</v>
      </c>
      <c r="Y12" s="106"/>
      <c r="Z12" s="809" t="s">
        <v>8</v>
      </c>
      <c r="AA12" s="810"/>
      <c r="AB12" s="204" t="s">
        <v>644</v>
      </c>
      <c r="AC12" s="143">
        <f>+IF(Z12="a",IF(AB12="Developer",HealthCare!K10,IF(AB12="Developer + Either Party",HealthCare!K10+HealthCare!K14)),IF(Z12="b",IF(AB12="Developer",HealthCare!K16,IF(AB12="Developer + Either Party",HealthCare!K17+HealthCare!K16)),IF(Z12="c",IF(AB12="Developer",HealthCare!K19,IF(AB12="Developer + Either Party",HealthCare!K19+HealthCare!K20)),IF(AB12="Developer",HealthCare!K22,IF(AB12="Developer + Either Party",HealthCare!K22+HealthCare!K25)))))</f>
        <v>44500</v>
      </c>
      <c r="AD12" s="143" t="str">
        <f>+IF(AB12="Developer","Tenant + Either party",IF(AB12="Developer + Either party","Tenant"))</f>
        <v>Tenant</v>
      </c>
      <c r="AE12" s="143">
        <f>+IF(Z12="a",IF(AD12="Tenant",HealthCare!K15,HealthCare!K15+HealthCare!K14),IF(Z12="b",IF(AD12="Tenant",HealthCare!K18,HealthCare!K18+HealthCare!K17),IF(Z12="c",IF(AD12="Tenant",HealthCare!K21,HealthCare!K21+HealthCare!K20),IF(AD12="Tenant",HealthCare!K26,HealthCare!K26+HealthCare!K25))))</f>
        <v>0</v>
      </c>
      <c r="AF12" s="150">
        <f>+SUM(AE12,AC12)/$AC$9</f>
        <v>11.125</v>
      </c>
      <c r="AG12" s="106"/>
      <c r="AH12" s="809" t="s">
        <v>5</v>
      </c>
      <c r="AI12" s="810"/>
      <c r="AJ12" s="204" t="s">
        <v>144</v>
      </c>
      <c r="AK12" s="143">
        <f>+IF(AH12="a",IF(AJ12="Developer",Restaurant!K10,IF(AJ12="Developer + Either Party",Restaurant!K10+Restaurant!K14)),IF(AH12="b",IF(AJ12="Developer",Restaurant!K16,IF(AJ12="Developer + Either Party",Restaurant!K17+Restaurant!K16)),IF(AH12="c",IF(AJ12="Developer",Restaurant!K19,IF(AJ12="Developer + Either Party",Restaurant!K19+Restaurant!K20)),IF(AJ12="Developer",Restaurant!K22,IF(AJ12="Developer + Either Party",Restaurant!K22+Restaurant!K25)))))</f>
        <v>92500</v>
      </c>
      <c r="AL12" s="143" t="str">
        <f>+IF(AJ12="Developer","Tenant + Either party",IF(AJ12="Developer + Either party","Tenant"))</f>
        <v>Tenant + Either party</v>
      </c>
      <c r="AM12" s="143">
        <f>+IF(AH12="a",IF(AL12="Tenant",Restaurant!K15,Restaurant!K15+Restaurant!K14),IF(AH12="b",IF(AL12="Tenant",Restaurant!K18,Restaurant!K18+Restaurant!K17),IF(AH12="c",IF(AL12="Tenant",Restaurant!K21,Restaurant!K21+Restaurant!K20),IF(AL12="Tenant",Restaurant!K26,Restaurant!K26+Restaurant!K25))))</f>
        <v>16000</v>
      </c>
      <c r="AN12" s="150">
        <f>+SUM(AM12,AK12)/$AK$9</f>
        <v>27.125</v>
      </c>
      <c r="AO12" s="106"/>
      <c r="AP12" s="809" t="s">
        <v>5</v>
      </c>
      <c r="AQ12" s="810"/>
      <c r="AR12" s="204" t="s">
        <v>144</v>
      </c>
      <c r="AS12" s="143">
        <f>+IF(AP12="a",IF(AR12="Developer",GenRetL!K10,IF(AR12="Developer + Either Party",GenRetL!K10+GenRetL!K14)),IF(AP12="b",IF(AR12="Developer",GenRetL!K16,IF(AR12="Developer + Either Party",GenRetL!K17+GenRetL!K16)),IF(AP12="c",IF(AR12="Developer",GenRetL!K19,IF(AR12="Developer + Either Party",GenRetL!K19+GenRetL!K20)),IF(AR12="Developer",GenRetL!K22,IF(AR12="Developer + Either Party",GenRetL!K22+GenRetL!K25)))))</f>
        <v>47500</v>
      </c>
      <c r="AT12" s="143" t="str">
        <f>+IF(AR12="Developer","Tenant + Either party",IF(AR12="Developer + Either party","Tenant"))</f>
        <v>Tenant + Either party</v>
      </c>
      <c r="AU12" s="143">
        <f>+IF(AP12="a",IF(AT12="Tenant",GenRetL!K15,GenRetL!K15+GenRetL!K14),IF(AP12="b",IF(AT12="Tenant",GenRetL!K18,GenRetL!K18+GenRetL!K17),IF(AP12="c",IF(AT12="Tenant",GenRetL!K21,GenRetL!K21+GenRetL!K20),IF(AT12="Tenant",GenRetL!K26,GenRetL!K26+GenRetL!K25))))</f>
        <v>16000</v>
      </c>
      <c r="AV12" s="150">
        <f>+SUM(AU12,AS12)/$AS$9</f>
        <v>15.875</v>
      </c>
      <c r="AW12" s="106"/>
      <c r="AX12" s="809" t="s">
        <v>5</v>
      </c>
      <c r="AY12" s="810"/>
      <c r="AZ12" s="204" t="s">
        <v>144</v>
      </c>
      <c r="BA12" s="143">
        <f>+IF(AX12="a",IF(AZ12="Developer",GenRetS!K10,IF(AZ12="Developer + Either Party",GenRetS!K10+GenRetS!K14)),IF(AX12="b",IF(AZ12="Developer",GenRetS!K16,IF(AZ12="Developer + Either Party",GenRetS!K17+GenRetS!K16)),IF(AX12="c",IF(AZ12="Developer",GenRetS!K19,IF(AZ12="Developer + Either Party",GenRetS!K19+GenRetS!K20)),IF(AZ12="Developer",GenRetS!K22,IF(AZ12="Developer + Either Party",GenRetS!K22+GenRetS!K25)))))</f>
        <v>29500</v>
      </c>
      <c r="BB12" s="143" t="str">
        <f>+IF(AZ12="Developer","Tenant + Either party",IF(AZ12="Developer + Either party","Tenant"))</f>
        <v>Tenant + Either party</v>
      </c>
      <c r="BC12" s="143">
        <f>+IF(AX12="a",IF(BB12="Tenant",GenRetS!K15,GenRetS!K15+GenRetS!K14),IF(AX12="b",IF(BB12="Tenant",GenRetS!K18,GenRetS!K18+GenRetS!K17),IF(AX12="c",IF(BB12="Tenant",GenRetS!K21,GenRetS!K21+GenRetS!K20),IF(BB12="Tenant",GenRetS!K26,GenRetS!K26+GenRetS!K25))))</f>
        <v>8000</v>
      </c>
      <c r="BD12" s="150">
        <f>+SUM(BC12,BA12)/$BA$9</f>
        <v>18.75</v>
      </c>
      <c r="BE12" s="106"/>
      <c r="BF12" s="809" t="s">
        <v>5</v>
      </c>
      <c r="BG12" s="810"/>
      <c r="BH12" s="204" t="s">
        <v>144</v>
      </c>
      <c r="BI12" s="143">
        <f>+IF(BF12="a",IF(BH12="Developer",Laundr!K10,IF(BH12="Developer + Either Party",Laundr!K10+Laundr!K14)),IF(BF12="b",IF(BH12="Developer",Laundr!K16,IF(BH12="Developer + Either Party",Laundr!K17+Laundr!K16)),IF(BF12="c",IF(BH12="Developer",Laundr!K19,IF(BH12="Developer + Either Party",Laundr!K19+Laundr!K20)),IF(BH12="Developer",Laundr!K22,IF(BH12="Developer + Either Party",Laundr!K22+Laundr!K25)))))</f>
        <v>58500</v>
      </c>
      <c r="BJ12" s="143" t="str">
        <f>+IF(BH12="Developer","Tenant + Either party",IF(BH12="Developer + Either party","Tenant"))</f>
        <v>Tenant + Either party</v>
      </c>
      <c r="BK12" s="143">
        <f>+IF(BF12="a",IF(BJ12="Tenant",Laundr!K15,Laundr!K15+Laundr!K14),IF(BF12="b",IF(BJ12="Tenant",Laundr!K18,Laundr!K18+Laundr!K17),IF(BF12="c",IF(BJ12="Tenant",Laundr!K21,Laundr!K21+Laundr!K20),IF(BJ12="Tenant",Laundr!K26,Laundr!K26+Laundr!K25))))</f>
        <v>8000</v>
      </c>
      <c r="BL12" s="150">
        <f>+SUM(BK12,BI12)/$BI$9</f>
        <v>33.25</v>
      </c>
    </row>
    <row r="13" spans="2:64">
      <c r="B13" s="722">
        <v>1.2</v>
      </c>
      <c r="C13" s="815" t="s">
        <v>4</v>
      </c>
      <c r="D13" s="815"/>
      <c r="E13" s="815"/>
      <c r="F13" s="537"/>
      <c r="G13" s="537"/>
      <c r="H13" s="723"/>
      <c r="I13" s="114"/>
      <c r="J13" s="722">
        <v>1.2</v>
      </c>
      <c r="K13" s="815" t="s">
        <v>4</v>
      </c>
      <c r="L13" s="815"/>
      <c r="M13" s="815"/>
      <c r="N13" s="537"/>
      <c r="O13" s="537"/>
      <c r="P13" s="723"/>
      <c r="Q13" s="114"/>
      <c r="R13" s="722">
        <v>1.2</v>
      </c>
      <c r="S13" s="815" t="s">
        <v>4</v>
      </c>
      <c r="T13" s="815"/>
      <c r="U13" s="815"/>
      <c r="V13" s="537"/>
      <c r="W13" s="537"/>
      <c r="X13" s="723"/>
      <c r="Y13" s="114"/>
      <c r="Z13" s="722">
        <v>1.2</v>
      </c>
      <c r="AA13" s="815" t="s">
        <v>4</v>
      </c>
      <c r="AB13" s="815"/>
      <c r="AC13" s="815"/>
      <c r="AD13" s="537"/>
      <c r="AE13" s="537"/>
      <c r="AF13" s="723"/>
      <c r="AG13" s="114"/>
      <c r="AH13" s="722">
        <v>1.2</v>
      </c>
      <c r="AI13" s="815" t="s">
        <v>4</v>
      </c>
      <c r="AJ13" s="815"/>
      <c r="AK13" s="815"/>
      <c r="AL13" s="537"/>
      <c r="AM13" s="537"/>
      <c r="AN13" s="723"/>
      <c r="AO13" s="114"/>
      <c r="AP13" s="722">
        <v>1.2</v>
      </c>
      <c r="AQ13" s="815" t="s">
        <v>4</v>
      </c>
      <c r="AR13" s="815"/>
      <c r="AS13" s="815"/>
      <c r="AT13" s="537"/>
      <c r="AU13" s="537"/>
      <c r="AV13" s="723"/>
      <c r="AW13" s="114"/>
      <c r="AX13" s="722">
        <v>1.2</v>
      </c>
      <c r="AY13" s="815" t="s">
        <v>4</v>
      </c>
      <c r="AZ13" s="815"/>
      <c r="BA13" s="815"/>
      <c r="BB13" s="537"/>
      <c r="BC13" s="537"/>
      <c r="BD13" s="723"/>
      <c r="BE13" s="114"/>
      <c r="BF13" s="722">
        <v>1.2</v>
      </c>
      <c r="BG13" s="815" t="s">
        <v>4</v>
      </c>
      <c r="BH13" s="815"/>
      <c r="BI13" s="815"/>
      <c r="BJ13" s="537"/>
      <c r="BK13" s="537"/>
      <c r="BL13" s="723"/>
    </row>
    <row r="14" spans="2:64">
      <c r="B14" s="809" t="s">
        <v>7</v>
      </c>
      <c r="C14" s="810"/>
      <c r="D14" s="204" t="s">
        <v>644</v>
      </c>
      <c r="E14" s="143">
        <f>+IF(B14="a",IF(D14="Developer",Supermarket!K32,IF(D14="Developer + Either Party",Supermarket!K32+Supermarket!K35)),IF(B14="b",IF(D14="Developer",Supermarket!K37,IF(D14="Developer + Either Party",Supermarket!K37+Supermarket!K39)),IF(B14="c",IF(D14="Developer",Supermarket!K41,IF(D14="Developer + Either Party",Supermarket!K41+Supermarket!K42)),IF(D14="Developer",Supermarket!K46,IF(D14="Developer + Either Party",Supermarket!K46+Supermarket!K47)))))</f>
        <v>67500</v>
      </c>
      <c r="F14" s="143" t="str">
        <f>+IF(D14="Developer","Tenant + Either party",IF(D14="Developer + Either party","Tenant"))</f>
        <v>Tenant</v>
      </c>
      <c r="G14" s="143">
        <f>+IF($B14="a",IF(F14="Tenant",Supermarket!K36,Supermarket!K35+Supermarket!K36),IF($B14="b",IF(F14="Tenant",Supermarket!K40,Supermarket!K40+Supermarket!K39),IF($B14="c",IF(F14="Tenant",Supermarket!K45,Supermarket!K45+Supermarket!K42),IF(F14="Tenant",Supermarket!K50,Supermarket!K50+Supermarket!K47))))</f>
        <v>0</v>
      </c>
      <c r="H14" s="150">
        <f>+SUM(G14,E14)/$E$9</f>
        <v>5.625</v>
      </c>
      <c r="J14" s="809" t="s">
        <v>5</v>
      </c>
      <c r="K14" s="810"/>
      <c r="L14" s="204" t="s">
        <v>144</v>
      </c>
      <c r="M14" s="143">
        <f>+IF(J14="a",IF(L14="Developer",PharmacyL!K28,IF(L14="Developer + Either Party",PharmacyL!K28+PharmacyL!K31)),IF(J14="b",IF(L14="Developer",PharmacyL!K33,IF(L14="Developer + Either Party",PharmacyL!K33+PharmacyL!K35)),IF(J14="c",IF(L14="Developer",PharmacyL!K37,IF(L14="Developer + Either Party",PharmacyL!K37+PharmacyL!K38)),IF(L14="Developer",PharmacyL!K42,IF(L14="Developer + Either Party",PharmacyL!K42+PharmacyL!K43)))))</f>
        <v>106500</v>
      </c>
      <c r="N14" s="143" t="str">
        <f>+IF(L14="Developer","Tenant + Either party",IF(L14="Developer + Either party","Tenant"))</f>
        <v>Tenant + Either party</v>
      </c>
      <c r="O14" s="143">
        <f>+IF($J14="a",IF(N14="Tenant",PharmacyL!K32,PharmacyL!K32+PharmacyL!K31),IF($J14="b",IF(N14="Tenant",PharmacyL!K36,PharmacyL!K36+PharmacyL!K35),IF($J14="c",IF(N14="Tenant",PharmacyL!K41,PharmacyL!K41+PharmacyL!K38),IF(N14="Tenant",PharmacyL!K46,PharmacyL!K46+PharmacyL!K43))))</f>
        <v>0</v>
      </c>
      <c r="P14" s="150">
        <f>+SUM(O14,M14)/$M$9</f>
        <v>8.875</v>
      </c>
      <c r="Q14" s="106"/>
      <c r="R14" s="809" t="s">
        <v>5</v>
      </c>
      <c r="S14" s="810"/>
      <c r="T14" s="204" t="s">
        <v>144</v>
      </c>
      <c r="U14" s="143">
        <f>+IF(R14="a",IF(T14="Developer",PharmacyS!K28,IF(T14="Developer + Either Party",PharmacyS!K28+PharmacyS!K31)),IF(R14="b",IF(T14="Developer",PharmacyS!K33,IF(T14="Developer + Either Party",PharmacyS!K33+PharmacyS!K35)),IF(R14="c",IF(T14="Developer",PharmacyS!K37,IF(T14="Developer + Either Party",PharmacyS!K37+PharmacyS!K38)),IF(T14="Developer",PharmacyS!K42,IF(T14="Developer + Either Party",PharmacyS!K42+PharmacyS!K43)))))</f>
        <v>100500</v>
      </c>
      <c r="V14" s="143" t="str">
        <f>+IF(T14="Developer","Tenant + Either party",IF(T14="Developer + Either party","Tenant"))</f>
        <v>Tenant + Either party</v>
      </c>
      <c r="W14" s="143">
        <f>+IF(R14="a",IF(V14="Tenant",PharmacyS!K32,PharmacyS!K32+PharmacyS!K31),IF(R14="b",IF(V14="Tenant",PharmacyS!K36,PharmacyS!K36+PharmacyS!K35),IF(R14="c",IF(V14="Tenant",PharmacyS!K41,PharmacyS!K41+PharmacyS!K38),IF(V14="Tenant",PharmacyS!K46,PharmacyS!K46+PharmacyS!K43))))</f>
        <v>0</v>
      </c>
      <c r="X14" s="150">
        <f>+SUM(W14,U14)/$U$9</f>
        <v>16.75</v>
      </c>
      <c r="Y14" s="106"/>
      <c r="Z14" s="809" t="s">
        <v>5</v>
      </c>
      <c r="AA14" s="810"/>
      <c r="AB14" s="204" t="s">
        <v>644</v>
      </c>
      <c r="AC14" s="143">
        <f>+IF(Z14="a",IF(AB14="Developer",HealthCare!K28,IF(AB14="Developer + Either Party",HealthCare!K28+HealthCare!K31)),IF(Z14="b",IF(AB14="Developer",HealthCare!K33,IF(AB14="Developer + Either Party",HealthCare!K33+HealthCare!K35)),IF(Z14="c",IF(AB14="Developer",HealthCare!K37,IF(AB14="Developer + Either Party",HealthCare!K37+HealthCare!K38)),IF(AB14="Developer",HealthCare!K42,IF(AB14="Developer + Either Party",HealthCare!K42+HealthCare!K43)))))</f>
        <v>94500</v>
      </c>
      <c r="AD14" s="143" t="str">
        <f>+IF(AB14="Developer","Tenant + Either party",IF(AB14="Developer + Either party","Tenant"))</f>
        <v>Tenant</v>
      </c>
      <c r="AE14" s="143">
        <f>+IF(Z14="a",IF(AD14="Tenant",HealthCare!K32,HealthCare!K32+HealthCare!K31),IF(Z14="b",IF(AD14="Tenant",HealthCare!K36,HealthCare!K36+HealthCare!K35),IF(Z14="c",IF(AD14="Tenant",HealthCare!K41,HealthCare!K41+HealthCare!K38),IF(AD14="Tenant",HealthCare!K46,HealthCare!K46+HealthCare!K43))))</f>
        <v>0</v>
      </c>
      <c r="AF14" s="150">
        <f>+SUM(AE14,AC14)/$AC$9</f>
        <v>23.625</v>
      </c>
      <c r="AG14" s="106"/>
      <c r="AH14" s="809" t="s">
        <v>5</v>
      </c>
      <c r="AI14" s="810"/>
      <c r="AJ14" s="204" t="s">
        <v>144</v>
      </c>
      <c r="AK14" s="143">
        <f>+IF(AH14="a",IF(AJ14="Developer",Restaurant!K28,IF(AJ14="Developer + Either Party",Restaurant!K28+Restaurant!K31)),IF(AH14="b",IF(AJ14="Developer",Restaurant!K33,IF(AJ14="Developer + Either Party",Restaurant!K33+Restaurant!K35)),IF(AH14="c",IF(AJ14="Developer",Restaurant!K37,IF(AJ14="Developer + Either Party",Restaurant!K37+Restaurant!K38)),IF(AJ14="Developer",Restaurant!K42,IF(AJ14="Developer + Either Party",Restaurant!K42+Restaurant!K43)))))</f>
        <v>94500</v>
      </c>
      <c r="AL14" s="143" t="str">
        <f>+IF(AJ14="Developer","Tenant + Either party",IF(AJ14="Developer + Either party","Tenant"))</f>
        <v>Tenant + Either party</v>
      </c>
      <c r="AM14" s="143">
        <f>+IF(AH14="a",IF(AL14="Tenant",Restaurant!K32,Restaurant!K32+Restaurant!K31),IF(AH14="b",IF(AL14="Tenant",Restaurant!K36,Restaurant!K36+Restaurant!K35),IF(AH14="c",IF(AL14="Tenant",Restaurant!K41,Restaurant!K41+Restaurant!K38),IF(AL14="Tenant",Restaurant!K46,Restaurant!K46+Restaurant!K43))))</f>
        <v>0</v>
      </c>
      <c r="AN14" s="150">
        <f>+SUM(AM14,AK14)/$AK$9</f>
        <v>23.625</v>
      </c>
      <c r="AO14" s="106"/>
      <c r="AP14" s="809" t="s">
        <v>5</v>
      </c>
      <c r="AQ14" s="810"/>
      <c r="AR14" s="204" t="s">
        <v>644</v>
      </c>
      <c r="AS14" s="143">
        <f>+IF(AP14="a",IF(AR14="Developer",GenRetL!K28,IF(AR14="Developer + Either Party",GenRetL!K28+GenRetL!K31)),IF(AP14="b",IF(AR14="Developer",GenRetL!K33,IF(AR14="Developer + Either Party",GenRetL!K33+GenRetL!K35)),IF(AP14="c",IF(AR14="Developer",GenRetL!K37,IF(AR14="Developer + Either Party",GenRetL!K37+GenRetL!K38)),IF(AR14="Developer",GenRetL!K42,IF(AR14="Developer + Either Party",GenRetL!K42+GenRetL!K43)))))</f>
        <v>94500</v>
      </c>
      <c r="AT14" s="143" t="str">
        <f>+IF(AR14="Developer","Tenant + Either party",IF(AR14="Developer + Either party","Tenant"))</f>
        <v>Tenant</v>
      </c>
      <c r="AU14" s="143">
        <f>+IF(AP14="a",IF(AT14="Tenant",GenRetL!K32,GenRetL!K32+GenRetL!K31),IF(AP14="b",IF(AT14="Tenant",GenRetL!K36,GenRetL!K36+GenRetL!K35),IF(AP14="c",IF(AT14="Tenant",GenRetL!K41,GenRetL!K41+GenRetL!K38),IF(AT14="Tenant",GenRetL!K46,GenRetL!K46+GenRetL!K43))))</f>
        <v>0</v>
      </c>
      <c r="AV14" s="150">
        <f>+SUM(AU14,AS14)/$AS$9</f>
        <v>23.625</v>
      </c>
      <c r="AW14" s="106"/>
      <c r="AX14" s="809" t="s">
        <v>5</v>
      </c>
      <c r="AY14" s="810"/>
      <c r="AZ14" s="204" t="s">
        <v>644</v>
      </c>
      <c r="BA14" s="143">
        <f>+IF(AX14="a",IF(AZ14="Developer",GenRetS!K28,IF(AZ14="Developer + Either Party",GenRetS!K28+GenRetS!K31)),IF(AX14="b",IF(AZ14="Developer",GenRetS!K33,IF(AZ14="Developer + Either Party",GenRetS!K33+GenRetS!K35)),IF(AX14="c",IF(AZ14="Developer",GenRetS!K37,IF(AZ14="Developer + Either Party",GenRetS!K37+GenRetS!K38)),IF(AZ14="Developer",GenRetS!K42,IF(AZ14="Developer + Either Party",GenRetS!K42+GenRetS!K43)))))</f>
        <v>85500</v>
      </c>
      <c r="BB14" s="143" t="str">
        <f>+IF(AZ14="Developer","Tenant + Either party",IF(AZ14="Developer + Either party","Tenant"))</f>
        <v>Tenant</v>
      </c>
      <c r="BC14" s="143">
        <f>+IF(AX14="a",IF(BB14="Tenant",GenRetS!K32,GenRetS!K32+GenRetS!K31),IF(AX14="b",IF(BB14="Tenant",GenRetS!K36,GenRetS!K36+GenRetS!K35),IF(AX14="c",IF(BB14="Tenant",GenRetS!K41,GenRetS!K41+GenRetS!K38),IF(BB14="Tenant",GenRetS!K46,GenRetS!K46+GenRetS!K43))))</f>
        <v>0</v>
      </c>
      <c r="BD14" s="150">
        <f>+SUM(BC14,BA14)/$BA$9</f>
        <v>42.75</v>
      </c>
      <c r="BE14" s="106"/>
      <c r="BF14" s="809" t="s">
        <v>5</v>
      </c>
      <c r="BG14" s="810"/>
      <c r="BH14" s="204" t="s">
        <v>644</v>
      </c>
      <c r="BI14" s="143">
        <f>+IF(BF14="a",IF(BH14="Developer",Laundr!K28,IF(BH14="Developer + Either Party",Laundr!K28+Laundr!K31)),IF(BF14="b",IF(BH14="Developer",Laundr!K33,IF(BH14="Developer + Either Party",Laundr!K33+Laundr!K35)),IF(BF14="c",IF(BH14="Developer",Laundr!K37,IF(BH14="Developer + Either Party",Laundr!K37+Laundr!K38)),IF(BH14="Developer",Laundr!K42,IF(BH14="Developer + Either Party",Laundr!K42+Laundr!K43)))))</f>
        <v>85500</v>
      </c>
      <c r="BJ14" s="143" t="str">
        <f>+IF(BH14="Developer","Tenant + Either party",IF(BH14="Developer + Either party","Tenant"))</f>
        <v>Tenant</v>
      </c>
      <c r="BK14" s="143">
        <f>+IF(BF14="a",IF(BJ14="Tenant",Laundr!K32,Laundr!K32+Laundr!K31),IF(BF14="b",IF(BJ14="Tenant",Laundr!K36,Laundr!K36+Laundr!K35),IF(BF14="c",IF(BJ14="Tenant",Laundr!K41,Laundr!K41+Laundr!K38),IF(BJ14="Tenant",Laundr!K46,Laundr!K46+Laundr!K43))))</f>
        <v>0</v>
      </c>
      <c r="BL14" s="150">
        <f>+SUM(BK14,BI14)/$BI$9</f>
        <v>42.75</v>
      </c>
    </row>
    <row r="15" spans="2:64">
      <c r="B15" s="722">
        <v>1.3</v>
      </c>
      <c r="C15" s="815" t="s">
        <v>32</v>
      </c>
      <c r="D15" s="815"/>
      <c r="E15" s="815"/>
      <c r="F15" s="537"/>
      <c r="G15" s="537"/>
      <c r="H15" s="723"/>
      <c r="I15" s="114"/>
      <c r="J15" s="722">
        <v>1.3</v>
      </c>
      <c r="K15" s="815" t="s">
        <v>32</v>
      </c>
      <c r="L15" s="815"/>
      <c r="M15" s="815"/>
      <c r="N15" s="537"/>
      <c r="O15" s="537"/>
      <c r="P15" s="723"/>
      <c r="Q15" s="114"/>
      <c r="R15" s="722">
        <v>1.3</v>
      </c>
      <c r="S15" s="815" t="s">
        <v>32</v>
      </c>
      <c r="T15" s="815"/>
      <c r="U15" s="815"/>
      <c r="V15" s="537"/>
      <c r="W15" s="537"/>
      <c r="X15" s="723"/>
      <c r="Y15" s="114"/>
      <c r="Z15" s="722">
        <v>1.3</v>
      </c>
      <c r="AA15" s="815" t="s">
        <v>32</v>
      </c>
      <c r="AB15" s="815"/>
      <c r="AC15" s="815"/>
      <c r="AD15" s="537"/>
      <c r="AE15" s="537"/>
      <c r="AF15" s="723"/>
      <c r="AG15" s="114"/>
      <c r="AH15" s="722">
        <v>1.3</v>
      </c>
      <c r="AI15" s="815" t="s">
        <v>32</v>
      </c>
      <c r="AJ15" s="815"/>
      <c r="AK15" s="815"/>
      <c r="AL15" s="537"/>
      <c r="AM15" s="537"/>
      <c r="AN15" s="723"/>
      <c r="AO15" s="114"/>
      <c r="AP15" s="722">
        <v>1.3</v>
      </c>
      <c r="AQ15" s="815" t="s">
        <v>32</v>
      </c>
      <c r="AR15" s="815"/>
      <c r="AS15" s="815"/>
      <c r="AT15" s="537"/>
      <c r="AU15" s="537"/>
      <c r="AV15" s="723"/>
      <c r="AW15" s="114"/>
      <c r="AX15" s="722">
        <v>1.3</v>
      </c>
      <c r="AY15" s="815" t="s">
        <v>32</v>
      </c>
      <c r="AZ15" s="815"/>
      <c r="BA15" s="815"/>
      <c r="BB15" s="537"/>
      <c r="BC15" s="537"/>
      <c r="BD15" s="723"/>
      <c r="BE15" s="114"/>
      <c r="BF15" s="722">
        <v>1.3</v>
      </c>
      <c r="BG15" s="815" t="s">
        <v>32</v>
      </c>
      <c r="BH15" s="815"/>
      <c r="BI15" s="815"/>
      <c r="BJ15" s="537"/>
      <c r="BK15" s="537"/>
      <c r="BL15" s="723"/>
    </row>
    <row r="16" spans="2:64">
      <c r="B16" s="809" t="s">
        <v>5</v>
      </c>
      <c r="C16" s="810"/>
      <c r="D16" s="204" t="s">
        <v>144</v>
      </c>
      <c r="E16" s="143">
        <f>+IF(B16&lt;&gt;"a",FALSE,IF(D16="Developer",Supermarket!K53,IF(D16="Developer + Either Party",Supermarket!K53+Supermarket!K54)))</f>
        <v>6000</v>
      </c>
      <c r="F16" s="143" t="str">
        <f>+IF(D16="Developer","Tenant + Either party",IF(D16="Developer + Either party","Tenant"))</f>
        <v>Tenant + Either party</v>
      </c>
      <c r="G16" s="143">
        <f>+IF($B16="a",IF(F16="Tenant",Supermarket!K55,Supermarket!K55+Supermarket!K54))</f>
        <v>60000</v>
      </c>
      <c r="H16" s="150">
        <f>+SUM(G16,E16)/$E$9</f>
        <v>5.5</v>
      </c>
      <c r="J16" s="809" t="s">
        <v>5</v>
      </c>
      <c r="K16" s="810"/>
      <c r="L16" s="204" t="s">
        <v>644</v>
      </c>
      <c r="M16" s="93">
        <f>+IF(J16="a",IF(L16="Developer",PharmacyL!K49,IF(L16="Developer + Either Party",PharmacyL!K49+PharmacyL!K50)))</f>
        <v>69000</v>
      </c>
      <c r="N16" s="143" t="str">
        <f>+IF(L16="Developer","Tenant + Either party",IF(L16="Developer + Either party","Tenant"))</f>
        <v>Tenant</v>
      </c>
      <c r="O16" s="143">
        <f>+IF(J16="a",IF(N16="Tenant",PharmacyL!K51,PharmacyL!K51+PharmacyL!K50))</f>
        <v>0</v>
      </c>
      <c r="P16" s="150">
        <f>+SUM(O16,M16)/$M$9</f>
        <v>5.75</v>
      </c>
      <c r="Q16" s="106"/>
      <c r="R16" s="809" t="s">
        <v>5</v>
      </c>
      <c r="S16" s="810"/>
      <c r="T16" s="204" t="s">
        <v>144</v>
      </c>
      <c r="U16" s="93">
        <f>+IF(R16="a",IF(T16="Developer",PharmacyS!K49,IF(T16="Developer + Either Party",PharmacyS!K49+PharmacyS!K50)))</f>
        <v>4000</v>
      </c>
      <c r="V16" s="143" t="str">
        <f>+IF(T16="Developer","Tenant + Either party",IF(T16="Developer + Either party","Tenant"))</f>
        <v>Tenant + Either party</v>
      </c>
      <c r="W16" s="143">
        <f>+IF(R16="a",IF(V16="Tenant",PharmacyS!K51,PharmacyS!K51+PharmacyS!K50))</f>
        <v>60000</v>
      </c>
      <c r="X16" s="150">
        <f>+SUM(W16,U16)/$U$9</f>
        <v>10.666666666666666</v>
      </c>
      <c r="Y16" s="106"/>
      <c r="Z16" s="809" t="s">
        <v>5</v>
      </c>
      <c r="AA16" s="810"/>
      <c r="AB16" s="204" t="s">
        <v>144</v>
      </c>
      <c r="AC16" s="93">
        <f>+IF(Z16="a",IF(AB16="Developer",HealthCare!K49,IF(AB16="Developer + Either Party",HealthCare!K49+HealthCare!K50)))</f>
        <v>1500</v>
      </c>
      <c r="AD16" s="143" t="str">
        <f>+IF(AB16="Developer","Tenant + Either party",IF(AB16="Developer + Either party","Tenant"))</f>
        <v>Tenant + Either party</v>
      </c>
      <c r="AE16" s="143">
        <f>+IF(Z16="a",IF(AD16="Tenant",HealthCare!K51,HealthCare!K51+HealthCare!K50))</f>
        <v>60000</v>
      </c>
      <c r="AF16" s="150">
        <f>+SUM(AE16,AC16)/$AC$9</f>
        <v>15.375</v>
      </c>
      <c r="AG16" s="106"/>
      <c r="AH16" s="809" t="s">
        <v>5</v>
      </c>
      <c r="AI16" s="810"/>
      <c r="AJ16" s="204" t="s">
        <v>144</v>
      </c>
      <c r="AK16" s="93">
        <f>+IF(AH16="a",IF(AJ16="Developer",Restaurant!K49,IF(AJ16="Developer + Either Party",Restaurant!K49+Restaurant!K50)))</f>
        <v>63000</v>
      </c>
      <c r="AL16" s="143" t="str">
        <f>+IF(AJ16="Developer","Tenant + Either party",IF(AJ16="Developer + Either party","Tenant"))</f>
        <v>Tenant + Either party</v>
      </c>
      <c r="AM16" s="143">
        <f>+IF(AH16="a",IF(AL16="Tenant",Restaurant!K51,Restaurant!K51+Restaurant!K50))</f>
        <v>0</v>
      </c>
      <c r="AN16" s="150">
        <f>+SUM(AM16,AK16)/$AK$9</f>
        <v>15.75</v>
      </c>
      <c r="AO16" s="106"/>
      <c r="AP16" s="809" t="s">
        <v>5</v>
      </c>
      <c r="AQ16" s="810"/>
      <c r="AR16" s="204" t="s">
        <v>144</v>
      </c>
      <c r="AS16" s="93">
        <f>+IF(AP16="a",IF(AR16="Developer",GenRetL!K49,IF(AR16="Developer + Either Party",GenRetL!K49+GenRetL!K50)))</f>
        <v>2000</v>
      </c>
      <c r="AT16" s="143" t="str">
        <f>+IF(AR16="Developer","Tenant + Either party",IF(AR16="Developer + Either party","Tenant"))</f>
        <v>Tenant + Either party</v>
      </c>
      <c r="AU16" s="143">
        <f>+IF(AP16="a",IF(AT16="Tenant",GenRetL!K51,GenRetL!K51+GenRetL!K50))</f>
        <v>60000</v>
      </c>
      <c r="AV16" s="150">
        <f>+SUM(AU16,AS16)/$AS$9</f>
        <v>15.5</v>
      </c>
      <c r="AW16" s="106"/>
      <c r="AX16" s="809" t="s">
        <v>5</v>
      </c>
      <c r="AY16" s="810"/>
      <c r="AZ16" s="204" t="s">
        <v>144</v>
      </c>
      <c r="BA16" s="93">
        <f>+IF(AX16="a",IF(AZ16="Developer",GenRetS!K49,IF(AZ16="Developer + Either Party",GenRetS!K49+GenRetS!K50)))</f>
        <v>1000</v>
      </c>
      <c r="BB16" s="143" t="str">
        <f>+IF(AZ16="Developer","Tenant + Either party",IF(AZ16="Developer + Either party","Tenant"))</f>
        <v>Tenant + Either party</v>
      </c>
      <c r="BC16" s="143">
        <f>+IF(AX16="a",IF(BB16="Tenant",GenRetS!K51,GenRetS!K51+GenRetS!K50))</f>
        <v>60000</v>
      </c>
      <c r="BD16" s="150">
        <f>+SUM(BC16,BA16)/$BA$9</f>
        <v>30.5</v>
      </c>
      <c r="BE16" s="106"/>
      <c r="BF16" s="809" t="s">
        <v>5</v>
      </c>
      <c r="BG16" s="810"/>
      <c r="BH16" s="204" t="s">
        <v>144</v>
      </c>
      <c r="BI16" s="93">
        <f>+IF(BF16="a",IF(BH16="Developer",Laundr!K49,IF(BH16="Developer + Either Party",Laundr!K49+Laundr!K50)))</f>
        <v>2000</v>
      </c>
      <c r="BJ16" s="143" t="str">
        <f>+IF(BH16="Developer","Tenant + Either party",IF(BH16="Developer + Either party","Tenant"))</f>
        <v>Tenant + Either party</v>
      </c>
      <c r="BK16" s="143">
        <f>+IF(BF16="a",IF(BJ16="Tenant",Laundr!K51,Laundr!K51+Laundr!K50))</f>
        <v>60000</v>
      </c>
      <c r="BL16" s="150">
        <f>+SUM(BK16,BI16)/$BI$9</f>
        <v>31</v>
      </c>
    </row>
    <row r="17" spans="2:64">
      <c r="B17" s="722">
        <v>1.4</v>
      </c>
      <c r="C17" s="815" t="s">
        <v>14</v>
      </c>
      <c r="D17" s="815"/>
      <c r="E17" s="815"/>
      <c r="F17" s="537"/>
      <c r="G17" s="537"/>
      <c r="H17" s="723"/>
      <c r="I17" s="114"/>
      <c r="J17" s="722">
        <v>1.4</v>
      </c>
      <c r="K17" s="815" t="s">
        <v>14</v>
      </c>
      <c r="L17" s="815"/>
      <c r="M17" s="815"/>
      <c r="N17" s="537"/>
      <c r="O17" s="537"/>
      <c r="P17" s="723"/>
      <c r="Q17" s="114"/>
      <c r="R17" s="722">
        <v>1.4</v>
      </c>
      <c r="S17" s="815" t="s">
        <v>14</v>
      </c>
      <c r="T17" s="815"/>
      <c r="U17" s="815"/>
      <c r="V17" s="537"/>
      <c r="W17" s="537"/>
      <c r="X17" s="723"/>
      <c r="Y17" s="114"/>
      <c r="Z17" s="722">
        <v>1.4</v>
      </c>
      <c r="AA17" s="815" t="s">
        <v>14</v>
      </c>
      <c r="AB17" s="815"/>
      <c r="AC17" s="815"/>
      <c r="AD17" s="537"/>
      <c r="AE17" s="537"/>
      <c r="AF17" s="723"/>
      <c r="AG17" s="114"/>
      <c r="AH17" s="722">
        <v>1.4</v>
      </c>
      <c r="AI17" s="815" t="s">
        <v>14</v>
      </c>
      <c r="AJ17" s="815"/>
      <c r="AK17" s="815"/>
      <c r="AL17" s="537"/>
      <c r="AM17" s="537"/>
      <c r="AN17" s="723"/>
      <c r="AO17" s="114"/>
      <c r="AP17" s="722">
        <v>1.4</v>
      </c>
      <c r="AQ17" s="815" t="s">
        <v>14</v>
      </c>
      <c r="AR17" s="815"/>
      <c r="AS17" s="815"/>
      <c r="AT17" s="537"/>
      <c r="AU17" s="537"/>
      <c r="AV17" s="723"/>
      <c r="AW17" s="114"/>
      <c r="AX17" s="722">
        <v>1.4</v>
      </c>
      <c r="AY17" s="815" t="s">
        <v>14</v>
      </c>
      <c r="AZ17" s="815"/>
      <c r="BA17" s="815"/>
      <c r="BB17" s="537"/>
      <c r="BC17" s="537"/>
      <c r="BD17" s="723"/>
      <c r="BE17" s="114"/>
      <c r="BF17" s="722">
        <v>1.4</v>
      </c>
      <c r="BG17" s="815" t="s">
        <v>14</v>
      </c>
      <c r="BH17" s="815"/>
      <c r="BI17" s="815"/>
      <c r="BJ17" s="537"/>
      <c r="BK17" s="537"/>
      <c r="BL17" s="723"/>
    </row>
    <row r="18" spans="2:64">
      <c r="B18" s="809" t="s">
        <v>5</v>
      </c>
      <c r="C18" s="810"/>
      <c r="D18" s="204" t="s">
        <v>644</v>
      </c>
      <c r="E18" s="143">
        <f>+IF(B18&lt;="a",IF(D18="Developer",Supermarket!K57,IF(D18="Developer + Either Party",Supermarket!K57+Supermarket!K58)))</f>
        <v>0</v>
      </c>
      <c r="F18" s="143" t="str">
        <f>+IF(D18="Developer","Tenant + Either party",IF(D18="Developer + Either party","Tenant"))</f>
        <v>Tenant</v>
      </c>
      <c r="G18" s="143">
        <f>+IF($B18="a",IF(F18="Tenant",Supermarket!K59,Supermarket!K59+Supermarket!K58))</f>
        <v>0</v>
      </c>
      <c r="H18" s="150">
        <f>+SUM(G18,E18)/$E$9</f>
        <v>0</v>
      </c>
      <c r="J18" s="809" t="s">
        <v>5</v>
      </c>
      <c r="K18" s="810"/>
      <c r="L18" s="204" t="s">
        <v>644</v>
      </c>
      <c r="M18" s="93">
        <f>+IF(J18="a",IF(L18="Developer",PharmacyL!K53,IF(L18="Developer + Either Party",PharmacyL!K53+PharmacyL!K54)))</f>
        <v>0</v>
      </c>
      <c r="N18" s="143" t="str">
        <f>+IF(L18="Developer","Tenant + Either party",IF(L18="Developer + Either party","Tenant"))</f>
        <v>Tenant</v>
      </c>
      <c r="O18" s="143">
        <f>+IF(J18="a",IF(N18="Tenant",PharmacyL!K55,PharmacyL!K55+PharmacyL!K54))</f>
        <v>0</v>
      </c>
      <c r="P18" s="150">
        <f>+SUM(O18,M18)/$M$9</f>
        <v>0</v>
      </c>
      <c r="Q18" s="106"/>
      <c r="R18" s="809" t="s">
        <v>5</v>
      </c>
      <c r="S18" s="810"/>
      <c r="T18" s="204" t="s">
        <v>144</v>
      </c>
      <c r="U18" s="93">
        <f>+IF(R18="a",IF(T18="Developer",PharmacyS!K53,IF(T18="Developer + Either Party",PharmacyS!K53+PharmacyS!K54)))</f>
        <v>0</v>
      </c>
      <c r="V18" s="143" t="str">
        <f>+IF(T18="Developer","Tenant + Either party",IF(T18="Developer + Either party","Tenant"))</f>
        <v>Tenant + Either party</v>
      </c>
      <c r="W18" s="143">
        <f>+IF(R18="a",IF(V18="Tenant",PharmacyS!K55,PharmacyS!K55+PharmacyS!K54))</f>
        <v>0</v>
      </c>
      <c r="X18" s="150">
        <f>+SUM(W18,U18)/$U$9</f>
        <v>0</v>
      </c>
      <c r="Y18" s="106"/>
      <c r="Z18" s="809" t="s">
        <v>5</v>
      </c>
      <c r="AA18" s="810"/>
      <c r="AB18" s="204" t="s">
        <v>144</v>
      </c>
      <c r="AC18" s="93">
        <f>+IF(Z18="a",IF(AB18="Developer",HealthCare!K53,IF(AB18="Developer + Either Party",HealthCare!K53+HealthCare!K54)))</f>
        <v>0</v>
      </c>
      <c r="AD18" s="143" t="str">
        <f>+IF(AB18="Developer","Tenant + Either party",IF(AB18="Developer + Either party","Tenant"))</f>
        <v>Tenant + Either party</v>
      </c>
      <c r="AE18" s="143">
        <f>+IF(Z18="a",IF(AD18="Tenant",HealthCare!K55,HealthCare!K55+HealthCare!K54))</f>
        <v>0</v>
      </c>
      <c r="AF18" s="150">
        <f>+SUM(AE18,AC18)/$AC$9</f>
        <v>0</v>
      </c>
      <c r="AG18" s="106"/>
      <c r="AH18" s="809" t="s">
        <v>5</v>
      </c>
      <c r="AI18" s="810"/>
      <c r="AJ18" s="204" t="s">
        <v>644</v>
      </c>
      <c r="AK18" s="93">
        <f>+IF(AH18="a",IF(AJ18="Developer",Restaurant!K53,IF(AJ18="Developer + Either Party",Restaurant!K53+Restaurant!K54)))</f>
        <v>0</v>
      </c>
      <c r="AL18" s="143" t="str">
        <f>+IF(AJ18="Developer","Tenant + Either party",IF(AJ18="Developer + Either party","Tenant"))</f>
        <v>Tenant</v>
      </c>
      <c r="AM18" s="143">
        <f>+IF(AH18="a",IF(AL18="Tenant",Restaurant!K55,Restaurant!K55+Restaurant!K54))</f>
        <v>0</v>
      </c>
      <c r="AN18" s="150">
        <f>+SUM(AM18,AK18)/$AK$9</f>
        <v>0</v>
      </c>
      <c r="AO18" s="106"/>
      <c r="AP18" s="809" t="s">
        <v>5</v>
      </c>
      <c r="AQ18" s="810"/>
      <c r="AR18" s="204" t="s">
        <v>144</v>
      </c>
      <c r="AS18" s="93">
        <f>+IF(AP18="a",IF(AR18="Developer",GenRetL!K53,IF(AR18="Developer + Either Party",GenRetL!K53+GenRetL!K54)))</f>
        <v>0</v>
      </c>
      <c r="AT18" s="143" t="str">
        <f>+IF(AR18="Developer","Tenant + Either party",IF(AR18="Developer + Either party","Tenant"))</f>
        <v>Tenant + Either party</v>
      </c>
      <c r="AU18" s="143">
        <f>+IF(AP18="a",IF(AT18="Tenant",GenRetL!K55,GenRetL!K55+GenRetL!K54))</f>
        <v>0</v>
      </c>
      <c r="AV18" s="150">
        <f>+SUM(AU18,AS18)/$AS$9</f>
        <v>0</v>
      </c>
      <c r="AW18" s="106"/>
      <c r="AX18" s="809" t="s">
        <v>5</v>
      </c>
      <c r="AY18" s="810"/>
      <c r="AZ18" s="204" t="s">
        <v>144</v>
      </c>
      <c r="BA18" s="93">
        <f>+IF(AX18="a",IF(AZ18="Developer",GenRetS!K53,IF(AZ18="Developer + Either Party",GenRetS!K53+GenRetS!K54)))</f>
        <v>0</v>
      </c>
      <c r="BB18" s="143" t="str">
        <f>+IF(AZ18="Developer","Tenant + Either party",IF(AZ18="Developer + Either party","Tenant"))</f>
        <v>Tenant + Either party</v>
      </c>
      <c r="BC18" s="143">
        <f>+IF(AX18="a",IF(BB18="Tenant",GenRetS!K55,GenRetS!K55+GenRetS!K54))</f>
        <v>0</v>
      </c>
      <c r="BD18" s="150">
        <f>+SUM(BC18,BA18)/$BA$9</f>
        <v>0</v>
      </c>
      <c r="BE18" s="106"/>
      <c r="BF18" s="809" t="s">
        <v>5</v>
      </c>
      <c r="BG18" s="810"/>
      <c r="BH18" s="204" t="s">
        <v>144</v>
      </c>
      <c r="BI18" s="93">
        <f>+IF(BF18="a",IF(BH18="Developer",Laundr!K53,IF(BH18="Developer + Either Party",Laundr!K53+Laundr!K54)))</f>
        <v>0</v>
      </c>
      <c r="BJ18" s="143" t="str">
        <f>+IF(BH18="Developer","Tenant + Either party",IF(BH18="Developer + Either party","Tenant"))</f>
        <v>Tenant + Either party</v>
      </c>
      <c r="BK18" s="143">
        <f>+IF(BF18="a",IF(BJ18="Tenant",Laundr!K55,Laundr!K55+Laundr!K54))</f>
        <v>0</v>
      </c>
      <c r="BL18" s="150">
        <f>+SUM(BK18,BI18)/$BI$9</f>
        <v>0</v>
      </c>
    </row>
    <row r="19" spans="2:64">
      <c r="B19" s="722">
        <v>1.5</v>
      </c>
      <c r="C19" s="815" t="s">
        <v>16</v>
      </c>
      <c r="D19" s="815"/>
      <c r="E19" s="815"/>
      <c r="F19" s="537"/>
      <c r="G19" s="537"/>
      <c r="H19" s="723"/>
      <c r="I19" s="114"/>
      <c r="J19" s="722">
        <v>1.5</v>
      </c>
      <c r="K19" s="815" t="s">
        <v>16</v>
      </c>
      <c r="L19" s="815"/>
      <c r="M19" s="815"/>
      <c r="N19" s="537"/>
      <c r="O19" s="537"/>
      <c r="P19" s="723"/>
      <c r="Q19" s="114"/>
      <c r="R19" s="722">
        <v>1.5</v>
      </c>
      <c r="S19" s="815" t="s">
        <v>16</v>
      </c>
      <c r="T19" s="815"/>
      <c r="U19" s="815"/>
      <c r="V19" s="537"/>
      <c r="W19" s="537"/>
      <c r="X19" s="723"/>
      <c r="Y19" s="114"/>
      <c r="Z19" s="722">
        <v>1.5</v>
      </c>
      <c r="AA19" s="815" t="s">
        <v>16</v>
      </c>
      <c r="AB19" s="815"/>
      <c r="AC19" s="815"/>
      <c r="AD19" s="537"/>
      <c r="AE19" s="537"/>
      <c r="AF19" s="723"/>
      <c r="AG19" s="114"/>
      <c r="AH19" s="722">
        <v>1.5</v>
      </c>
      <c r="AI19" s="815" t="s">
        <v>16</v>
      </c>
      <c r="AJ19" s="815"/>
      <c r="AK19" s="815"/>
      <c r="AL19" s="537"/>
      <c r="AM19" s="537"/>
      <c r="AN19" s="723"/>
      <c r="AO19" s="114"/>
      <c r="AP19" s="722">
        <v>1.5</v>
      </c>
      <c r="AQ19" s="815" t="s">
        <v>16</v>
      </c>
      <c r="AR19" s="815"/>
      <c r="AS19" s="815"/>
      <c r="AT19" s="537"/>
      <c r="AU19" s="537"/>
      <c r="AV19" s="723"/>
      <c r="AW19" s="114"/>
      <c r="AX19" s="722">
        <v>1.5</v>
      </c>
      <c r="AY19" s="815" t="s">
        <v>16</v>
      </c>
      <c r="AZ19" s="815"/>
      <c r="BA19" s="815"/>
      <c r="BB19" s="537"/>
      <c r="BC19" s="537"/>
      <c r="BD19" s="723"/>
      <c r="BE19" s="114"/>
      <c r="BF19" s="722">
        <v>1.5</v>
      </c>
      <c r="BG19" s="815" t="s">
        <v>16</v>
      </c>
      <c r="BH19" s="815"/>
      <c r="BI19" s="815"/>
      <c r="BJ19" s="537"/>
      <c r="BK19" s="537"/>
      <c r="BL19" s="723"/>
    </row>
    <row r="20" spans="2:64">
      <c r="B20" s="809" t="s">
        <v>5</v>
      </c>
      <c r="C20" s="810"/>
      <c r="D20" s="204" t="s">
        <v>144</v>
      </c>
      <c r="E20" s="143">
        <f>+IF(B20&lt;="a",IF(D20="Developer",Supermarket!K61,IF(D20="Developer + Either Party",Supermarket!K61+Supermarket!K63)))</f>
        <v>6000</v>
      </c>
      <c r="F20" s="143" t="str">
        <f>+IF(D20="Developer","Tenant + Either party",IF(D20="Developer + Either party","Tenant"))</f>
        <v>Tenant + Either party</v>
      </c>
      <c r="G20" s="143">
        <f>+IF($B20="a",IF(F20="Tenant",Supermarket!K65,Supermarket!K65+Supermarket!K63))</f>
        <v>11000</v>
      </c>
      <c r="H20" s="150">
        <f>+SUM(G20,E20)/$E$9</f>
        <v>1.4166666666666667</v>
      </c>
      <c r="J20" s="809" t="s">
        <v>5</v>
      </c>
      <c r="K20" s="810"/>
      <c r="L20" s="204" t="s">
        <v>644</v>
      </c>
      <c r="M20" s="93">
        <f>+IF(J20="a",IF(L20="Developer",PharmacyL!$K$57,IF(L20="Developer + Either Party",PharmacyL!$K$57+PharmacyL!$K$60)))</f>
        <v>17000</v>
      </c>
      <c r="N20" s="143" t="str">
        <f>+IF(L20="Developer","Tenant + Either party",IF(L20="Developer + Either party","Tenant"))</f>
        <v>Tenant</v>
      </c>
      <c r="O20" s="143">
        <f>+IF(J20="a",IF(N20="Tenant",PharmacyL!K62,PharmacyL!K62+PharmacyL!K60))</f>
        <v>0</v>
      </c>
      <c r="P20" s="150">
        <f>+SUM(O20,M20)/$M$9</f>
        <v>1.4166666666666667</v>
      </c>
      <c r="Q20" s="106"/>
      <c r="R20" s="809" t="s">
        <v>5</v>
      </c>
      <c r="S20" s="810"/>
      <c r="T20" s="204" t="s">
        <v>644</v>
      </c>
      <c r="U20" s="93">
        <f>+IF(R20="a",IF(T20="Developer",PharmacyS!$K57,IF(T20="Developer + Either Party",PharmacyS!$K$57+PharmacyS!$K$60)))</f>
        <v>17000</v>
      </c>
      <c r="V20" s="143" t="str">
        <f>+IF(T20="Developer","Tenant + Either party",IF(T20="Developer + Either party","Tenant"))</f>
        <v>Tenant</v>
      </c>
      <c r="W20" s="143">
        <f>+IF(R20="a",IF(V20="Tenant",PharmacyS!K62,PharmacyS!K62+PharmacyS!K60))</f>
        <v>0</v>
      </c>
      <c r="X20" s="150">
        <f>+SUM(W20,U20)/$U$9</f>
        <v>2.8333333333333335</v>
      </c>
      <c r="Y20" s="106"/>
      <c r="Z20" s="809" t="s">
        <v>5</v>
      </c>
      <c r="AA20" s="810"/>
      <c r="AB20" s="204" t="s">
        <v>144</v>
      </c>
      <c r="AC20" s="93">
        <f>+IF(Z20="a",IF(AB20="Developer",HealthCare!K57,IF(AB20="Developer + Either Party",HealthCare!K57+HealthCare!K60)))</f>
        <v>6000</v>
      </c>
      <c r="AD20" s="143" t="str">
        <f>+IF(AB20="Developer","Tenant + Either party",IF(AB20="Developer + Either party","Tenant"))</f>
        <v>Tenant + Either party</v>
      </c>
      <c r="AE20" s="143">
        <f>+IF(Z20="a",IF(AD20="Tenant",HealthCare!K62,HealthCare!K62+HealthCare!K60))</f>
        <v>11000</v>
      </c>
      <c r="AF20" s="150">
        <f>+SUM(AE20,AC20)/$AC$9</f>
        <v>4.25</v>
      </c>
      <c r="AG20" s="106"/>
      <c r="AH20" s="809" t="s">
        <v>5</v>
      </c>
      <c r="AI20" s="810"/>
      <c r="AJ20" s="204" t="s">
        <v>144</v>
      </c>
      <c r="AK20" s="93">
        <f>+IF(AH20="a",IF(AJ20="Developer",Restaurant!K57,IF(AJ20="Developer + Either Party",Restaurant!K57+Restaurant!K60)))</f>
        <v>12000</v>
      </c>
      <c r="AL20" s="143" t="str">
        <f>+IF(AJ20="Developer","Tenant + Either party",IF(AJ20="Developer + Either party","Tenant"))</f>
        <v>Tenant + Either party</v>
      </c>
      <c r="AM20" s="143">
        <f>+IF(AH20="a",IF(AL20="Tenant",Restaurant!K62,Restaurant!K62+Restaurant!K60))</f>
        <v>22000</v>
      </c>
      <c r="AN20" s="150">
        <f>+SUM(AM20,AK20)/$AK$9</f>
        <v>8.5</v>
      </c>
      <c r="AO20" s="106"/>
      <c r="AP20" s="809" t="s">
        <v>5</v>
      </c>
      <c r="AQ20" s="810"/>
      <c r="AR20" s="204" t="s">
        <v>144</v>
      </c>
      <c r="AS20" s="93">
        <f>+IF(AP20="a",IF(AR20="Developer",GenRetL!K57,IF(AR20="Developer + Either Party",GenRetL!K57+GenRetL!K60)))</f>
        <v>6000</v>
      </c>
      <c r="AT20" s="143" t="str">
        <f>+IF(AR20="Developer","Tenant + Either party",IF(AR20="Developer + Either party","Tenant"))</f>
        <v>Tenant + Either party</v>
      </c>
      <c r="AU20" s="143">
        <f>+IF(AP20="a",IF(AT20="Tenant",GenRetL!K62,GenRetL!K62+GenRetL!K60))</f>
        <v>11000</v>
      </c>
      <c r="AV20" s="150">
        <f>+SUM(AU20,AS20)/$AS$9</f>
        <v>4.25</v>
      </c>
      <c r="AW20" s="106"/>
      <c r="AX20" s="809" t="s">
        <v>5</v>
      </c>
      <c r="AY20" s="810"/>
      <c r="AZ20" s="204" t="s">
        <v>144</v>
      </c>
      <c r="BA20" s="93">
        <f>+IF(AX20="a",IF(AZ20="Developer",GenRetS!K57,IF(AZ20="Developer + Either Party",GenRetS!K57+GenRetS!K60)))</f>
        <v>6000</v>
      </c>
      <c r="BB20" s="143" t="str">
        <f>+IF(AZ20="Developer","Tenant + Either party",IF(AZ20="Developer + Either party","Tenant"))</f>
        <v>Tenant + Either party</v>
      </c>
      <c r="BC20" s="143">
        <f>+IF(AX20="a",IF(BB20="Tenant",GenRetS!K62,GenRetS!K62+GenRetS!K60))</f>
        <v>11000</v>
      </c>
      <c r="BD20" s="150">
        <f>+SUM(BC20,BA20)/$BA$9</f>
        <v>8.5</v>
      </c>
      <c r="BE20" s="106"/>
      <c r="BF20" s="809" t="s">
        <v>5</v>
      </c>
      <c r="BG20" s="810"/>
      <c r="BH20" s="204" t="s">
        <v>144</v>
      </c>
      <c r="BI20" s="93">
        <f>+IF(BF20="a",IF(BH20="Developer",Laundr!K57,IF(BH20="Developer + Either Party",Laundr!K57+Laundr!K60)))</f>
        <v>0</v>
      </c>
      <c r="BJ20" s="143" t="str">
        <f>+IF(BH20="Developer","Tenant + Either party",IF(BH20="Developer + Either party","Tenant"))</f>
        <v>Tenant + Either party</v>
      </c>
      <c r="BK20" s="143">
        <f>+IF(BF20="a",IF(BJ20="Tenant",Laundr!K62,Laundr!K62+Laundr!K60))</f>
        <v>0</v>
      </c>
      <c r="BL20" s="150">
        <f>+SUM(BK20,BI20)/$BI$9</f>
        <v>0</v>
      </c>
    </row>
    <row r="21" spans="2:64">
      <c r="B21" s="722">
        <v>1.6</v>
      </c>
      <c r="C21" s="815" t="s">
        <v>18</v>
      </c>
      <c r="D21" s="815"/>
      <c r="E21" s="815"/>
      <c r="F21" s="537"/>
      <c r="G21" s="537"/>
      <c r="H21" s="723"/>
      <c r="I21" s="114"/>
      <c r="J21" s="722">
        <v>1.6</v>
      </c>
      <c r="K21" s="815" t="s">
        <v>18</v>
      </c>
      <c r="L21" s="815"/>
      <c r="M21" s="815"/>
      <c r="N21" s="537"/>
      <c r="O21" s="537"/>
      <c r="P21" s="723"/>
      <c r="Q21" s="114"/>
      <c r="R21" s="722">
        <v>1.6</v>
      </c>
      <c r="S21" s="815" t="s">
        <v>18</v>
      </c>
      <c r="T21" s="815"/>
      <c r="U21" s="815"/>
      <c r="V21" s="537"/>
      <c r="W21" s="537"/>
      <c r="X21" s="723"/>
      <c r="Y21" s="114"/>
      <c r="Z21" s="722">
        <v>1.6</v>
      </c>
      <c r="AA21" s="815" t="s">
        <v>18</v>
      </c>
      <c r="AB21" s="815"/>
      <c r="AC21" s="815"/>
      <c r="AD21" s="537"/>
      <c r="AE21" s="537"/>
      <c r="AF21" s="723"/>
      <c r="AG21" s="114"/>
      <c r="AH21" s="722">
        <v>1.6</v>
      </c>
      <c r="AI21" s="815" t="s">
        <v>18</v>
      </c>
      <c r="AJ21" s="815"/>
      <c r="AK21" s="815"/>
      <c r="AL21" s="537"/>
      <c r="AM21" s="537"/>
      <c r="AN21" s="723"/>
      <c r="AO21" s="114"/>
      <c r="AP21" s="722">
        <v>1.6</v>
      </c>
      <c r="AQ21" s="815" t="s">
        <v>18</v>
      </c>
      <c r="AR21" s="815"/>
      <c r="AS21" s="815"/>
      <c r="AT21" s="537"/>
      <c r="AU21" s="537"/>
      <c r="AV21" s="723"/>
      <c r="AW21" s="114"/>
      <c r="AX21" s="722">
        <v>1.6</v>
      </c>
      <c r="AY21" s="815" t="s">
        <v>18</v>
      </c>
      <c r="AZ21" s="815"/>
      <c r="BA21" s="815"/>
      <c r="BB21" s="537"/>
      <c r="BC21" s="537"/>
      <c r="BD21" s="723"/>
      <c r="BE21" s="114"/>
      <c r="BF21" s="722">
        <v>1.6</v>
      </c>
      <c r="BG21" s="815" t="s">
        <v>18</v>
      </c>
      <c r="BH21" s="815"/>
      <c r="BI21" s="815"/>
      <c r="BJ21" s="537"/>
      <c r="BK21" s="537"/>
      <c r="BL21" s="723"/>
    </row>
    <row r="22" spans="2:64">
      <c r="B22" s="809" t="s">
        <v>5</v>
      </c>
      <c r="C22" s="810"/>
      <c r="D22" s="204" t="s">
        <v>144</v>
      </c>
      <c r="E22" s="143">
        <f>+IF(B22="a",IF(D22="Developer",Supermarket!K67,IF(D22="Developer + Either Party",Supermarket!K67+Supermarket!K69)))</f>
        <v>1500</v>
      </c>
      <c r="F22" s="143" t="str">
        <f>+IF(D22="Developer","Tenant + Either party",IF(D22="Developer + Either party","Tenant"))</f>
        <v>Tenant + Either party</v>
      </c>
      <c r="G22" s="143">
        <f>+IF($B22="a",IF(F22="Tenant",Supermarket!K69,Supermarket!K69+Supermarket!K70))</f>
        <v>25000</v>
      </c>
      <c r="H22" s="150">
        <f>+SUM(G22,E22)/$E$9</f>
        <v>2.2083333333333335</v>
      </c>
      <c r="J22" s="809" t="s">
        <v>5</v>
      </c>
      <c r="K22" s="810"/>
      <c r="L22" s="204" t="s">
        <v>644</v>
      </c>
      <c r="M22" s="219" t="s">
        <v>88</v>
      </c>
      <c r="N22" s="143" t="str">
        <f>+IF(L22="Developer","Tenant + Either party",IF(L22="Developer + Either party","Tenant"))</f>
        <v>Tenant</v>
      </c>
      <c r="O22" s="219" t="s">
        <v>88</v>
      </c>
      <c r="P22" s="150">
        <f>+SUM(O22,M22)/$M$9</f>
        <v>0</v>
      </c>
      <c r="Q22" s="106"/>
      <c r="R22" s="809" t="s">
        <v>5</v>
      </c>
      <c r="S22" s="810"/>
      <c r="T22" s="204" t="s">
        <v>144</v>
      </c>
      <c r="U22" s="219" t="s">
        <v>88</v>
      </c>
      <c r="V22" s="143" t="str">
        <f>+IF(T22="Developer","Tenant + Either party",IF(T22="Developer + Either party","Tenant"))</f>
        <v>Tenant + Either party</v>
      </c>
      <c r="W22" s="350" t="s">
        <v>88</v>
      </c>
      <c r="X22" s="150">
        <f>+SUM(W22,U22)/$U$9</f>
        <v>0</v>
      </c>
      <c r="Y22" s="106"/>
      <c r="Z22" s="809" t="s">
        <v>5</v>
      </c>
      <c r="AA22" s="810"/>
      <c r="AB22" s="204" t="s">
        <v>144</v>
      </c>
      <c r="AC22" s="219" t="s">
        <v>88</v>
      </c>
      <c r="AD22" s="143" t="str">
        <f>+IF(AB22="Developer","Tenant + Either party",IF(AB22="Developer + Either party","Tenant"))</f>
        <v>Tenant + Either party</v>
      </c>
      <c r="AE22" s="219" t="s">
        <v>88</v>
      </c>
      <c r="AF22" s="150">
        <f>+SUM(AE22,AC22)/$AC$9</f>
        <v>0</v>
      </c>
      <c r="AG22" s="106"/>
      <c r="AH22" s="809" t="s">
        <v>5</v>
      </c>
      <c r="AI22" s="810"/>
      <c r="AJ22" s="204" t="s">
        <v>144</v>
      </c>
      <c r="AK22" s="93">
        <f>+IF(AH22="a",IF(AJ22="Developer",Restaurant!K64,IF(AJ22="Developer + Either Party",Restaurant!K64+Restaurant!K65)))</f>
        <v>1600</v>
      </c>
      <c r="AL22" s="143" t="str">
        <f>+IF(AJ22="Developer","Tenant + Either party",IF(AJ22="Developer + Either party","Tenant"))</f>
        <v>Tenant + Either party</v>
      </c>
      <c r="AM22" s="143">
        <f>+IF(AH22="a",IF(AL22="Tenant",Restaurant!K66,Restaurant!K66+Restaurant!K65))</f>
        <v>25000</v>
      </c>
      <c r="AN22" s="150">
        <f>+SUM(AM22,AK22)/$AK$9</f>
        <v>6.65</v>
      </c>
      <c r="AO22" s="106"/>
      <c r="AP22" s="809" t="s">
        <v>5</v>
      </c>
      <c r="AQ22" s="810"/>
      <c r="AR22" s="204" t="s">
        <v>144</v>
      </c>
      <c r="AS22" s="219" t="s">
        <v>88</v>
      </c>
      <c r="AT22" s="143" t="str">
        <f>+IF(AR22="Developer","Tenant + Either party",IF(AR22="Developer + Either party","Tenant"))</f>
        <v>Tenant + Either party</v>
      </c>
      <c r="AU22" s="219" t="s">
        <v>88</v>
      </c>
      <c r="AV22" s="150">
        <f>+SUM(AU22,AS22)/$AS$9</f>
        <v>0</v>
      </c>
      <c r="AW22" s="106"/>
      <c r="AX22" s="809" t="s">
        <v>5</v>
      </c>
      <c r="AY22" s="810"/>
      <c r="AZ22" s="204" t="s">
        <v>144</v>
      </c>
      <c r="BA22" s="219" t="s">
        <v>88</v>
      </c>
      <c r="BB22" s="143" t="str">
        <f>+IF(AZ22="Developer","Tenant + Either party",IF(AZ22="Developer + Either party","Tenant"))</f>
        <v>Tenant + Either party</v>
      </c>
      <c r="BC22" s="219" t="s">
        <v>88</v>
      </c>
      <c r="BD22" s="150">
        <f>+SUM(BC22,BA22)/$BA$9</f>
        <v>0</v>
      </c>
      <c r="BE22" s="106"/>
      <c r="BF22" s="809" t="s">
        <v>5</v>
      </c>
      <c r="BG22" s="810"/>
      <c r="BH22" s="204" t="s">
        <v>144</v>
      </c>
      <c r="BI22" s="219" t="s">
        <v>88</v>
      </c>
      <c r="BJ22" s="143" t="str">
        <f>+IF(BH22="Developer","Tenant + Either party",IF(BH22="Developer + Either party","Tenant"))</f>
        <v>Tenant + Either party</v>
      </c>
      <c r="BK22" s="219" t="s">
        <v>88</v>
      </c>
      <c r="BL22" s="150">
        <f>+SUM(BK22,BI22)/$BI$9</f>
        <v>0</v>
      </c>
    </row>
    <row r="23" spans="2:64">
      <c r="B23" s="722">
        <v>1.7</v>
      </c>
      <c r="C23" s="815" t="s">
        <v>33</v>
      </c>
      <c r="D23" s="815"/>
      <c r="E23" s="815"/>
      <c r="F23" s="537"/>
      <c r="G23" s="537"/>
      <c r="H23" s="723"/>
      <c r="I23" s="114"/>
      <c r="J23" s="722">
        <v>1.7</v>
      </c>
      <c r="K23" s="815" t="s">
        <v>33</v>
      </c>
      <c r="L23" s="815"/>
      <c r="M23" s="815"/>
      <c r="N23" s="537"/>
      <c r="O23" s="537"/>
      <c r="P23" s="723"/>
      <c r="Q23" s="114"/>
      <c r="R23" s="722">
        <v>1.7</v>
      </c>
      <c r="S23" s="815" t="s">
        <v>33</v>
      </c>
      <c r="T23" s="815"/>
      <c r="U23" s="815"/>
      <c r="V23" s="537"/>
      <c r="W23" s="537"/>
      <c r="X23" s="723"/>
      <c r="Y23" s="114"/>
      <c r="Z23" s="722">
        <v>1.7</v>
      </c>
      <c r="AA23" s="815" t="s">
        <v>33</v>
      </c>
      <c r="AB23" s="815"/>
      <c r="AC23" s="815"/>
      <c r="AD23" s="537"/>
      <c r="AE23" s="537"/>
      <c r="AF23" s="723"/>
      <c r="AG23" s="114"/>
      <c r="AH23" s="722">
        <v>1.7</v>
      </c>
      <c r="AI23" s="815" t="s">
        <v>33</v>
      </c>
      <c r="AJ23" s="815"/>
      <c r="AK23" s="815"/>
      <c r="AL23" s="537"/>
      <c r="AM23" s="537"/>
      <c r="AN23" s="723"/>
      <c r="AO23" s="114"/>
      <c r="AP23" s="722">
        <v>1.7</v>
      </c>
      <c r="AQ23" s="815" t="s">
        <v>33</v>
      </c>
      <c r="AR23" s="815"/>
      <c r="AS23" s="815"/>
      <c r="AT23" s="537"/>
      <c r="AU23" s="537"/>
      <c r="AV23" s="723"/>
      <c r="AW23" s="114"/>
      <c r="AX23" s="722">
        <v>1.7</v>
      </c>
      <c r="AY23" s="815" t="s">
        <v>33</v>
      </c>
      <c r="AZ23" s="815"/>
      <c r="BA23" s="815"/>
      <c r="BB23" s="537"/>
      <c r="BC23" s="537"/>
      <c r="BD23" s="723"/>
      <c r="BE23" s="114"/>
      <c r="BF23" s="722">
        <v>1.7</v>
      </c>
      <c r="BG23" s="815" t="s">
        <v>33</v>
      </c>
      <c r="BH23" s="815"/>
      <c r="BI23" s="815"/>
      <c r="BJ23" s="537"/>
      <c r="BK23" s="537"/>
      <c r="BL23" s="723"/>
    </row>
    <row r="24" spans="2:64">
      <c r="B24" s="809" t="s">
        <v>8</v>
      </c>
      <c r="C24" s="810"/>
      <c r="D24" s="204" t="s">
        <v>144</v>
      </c>
      <c r="E24" s="143">
        <f>+IF(B24="a",IF(D24="Developer",Supermarket!K72,IF(D24="Developer + Either Party",Supermarket!K72+Supermarket!K73)),IF(B24="b",IF(D24="Developer",Supermarket!K78,IF(D24="Developer + Either Party",Supermarket!K78+Supermarket!K79)),IF(B24="c",IF(D24="Developer",Supermarket!K84,IF(D24="Developer + Either Party",Supermarket!K84+Supermarket!K85)),IF(D24="Developer",Supermarket!K90,IF(D24="Developer + Either Party",Supermarket!K90+Supermarket!K91)))))</f>
        <v>0</v>
      </c>
      <c r="F24" s="143" t="str">
        <f>+IF(D24="Developer","Tenant + Either party",IF(D24="Developer + Either party","Tenant"))</f>
        <v>Tenant + Either party</v>
      </c>
      <c r="G24" s="143">
        <f>+IF($B24="a",IF(F24="Tenant",Supermarket!K74,Supermarket!K74+Supermarket!K73),IF($B24="b",IF(F24="Tenant",Supermarket!K80,Supermarket!K80+Supermarket!K79),IF($B24="c",IF(F24="Tenant",Supermarket!K86,Supermarket!K86+Supermarket!K85),IF(F24="Tenant",Supermarket!K92,Supermarket!K92+Supermarket!K91))))</f>
        <v>57500</v>
      </c>
      <c r="H24" s="150">
        <f>+SUM(G24,E24)/$E$9</f>
        <v>4.791666666666667</v>
      </c>
      <c r="J24" s="809" t="s">
        <v>5</v>
      </c>
      <c r="K24" s="810"/>
      <c r="L24" s="204" t="s">
        <v>144</v>
      </c>
      <c r="M24" s="93">
        <f>+IF(J24="a",IF(L24="Developer",PharmacyL!K68,PharmacyL!K68+PharmacyL!K69),IF(J24="b",IF(L24="Developer",PharmacyL!K75,PharmacyL!K75+PharmacyL!K76),IF(J24="c",IF(L24="Developer",PharmacyL!K82,PharmacyL!K82+PharmacyL!K83),IF(L24="Developer",PharmacyL!K89,PharmacyL!K89+PharmacyL!K90))))</f>
        <v>0</v>
      </c>
      <c r="N24" s="143" t="str">
        <f>+IF(L24="Developer","Tenant + Either party",IF(L24="Developer + Either party","Tenant"))</f>
        <v>Tenant + Either party</v>
      </c>
      <c r="O24" s="143">
        <f>+IF(J24="a",IF(N24="Tenant",PharmacyL!K70,PharmacyL!K70+PharmacyL!K69),IF(J24="b",IF(N24="Tenant",PharmacyL!K77,PharmacyL!K77+PharmacyL!K76),IF(J24="c",IF(N24="Tenant",PharmacyL!K84,PharmacyL!K84+PharmacyL!K83),IF(N24="Tenant",PharmacyL!K91,PharmacyL!K91+PharmacyL!K90))))</f>
        <v>90190</v>
      </c>
      <c r="P24" s="150">
        <f>+SUM(O24,M24)/$M$9</f>
        <v>7.5158333333333331</v>
      </c>
      <c r="Q24" s="106"/>
      <c r="R24" s="809" t="s">
        <v>5</v>
      </c>
      <c r="S24" s="810"/>
      <c r="T24" s="204" t="s">
        <v>644</v>
      </c>
      <c r="U24" s="93">
        <f>+IF(R24="a",IF(T24="Developer",PharmacyS!K68,PharmacyS!K68+PharmacyS!K69),IF(R24="b",IF(T24="Developer",PharmacyS!K75,PharmacyS!K75+PharmacyS!K76),IF(R24="c",IF(T24="Developer",PharmacyS!K82,PharmacyS!K82+PharmacyS!K83),IF(T24="Developer",PharmacyS!K89,PharmacyS!K89+PharmacyS!K90))))</f>
        <v>0</v>
      </c>
      <c r="V24" s="143" t="str">
        <f>+IF(T24="Developer","Tenant + Either party",IF(T24="Developer + Either party","Tenant"))</f>
        <v>Tenant</v>
      </c>
      <c r="W24" s="143">
        <f>+IF(R24="a",IF(V24="Tenant",PharmacyS!K70,PharmacyS!K70+PharmacyS!K69),IF(R24="b",IF(V24="Tenant",PharmacyS!K77,PharmacyS!K77+PharmacyS!K76),IF(R24="c",IF(V24="Tenant",PharmacyS!K84,PharmacyS!K84+PharmacyS!K83),IF(V24="Tenant",PharmacyS!K91,PharmacyS!K91+PharmacyS!K90))))</f>
        <v>46250</v>
      </c>
      <c r="X24" s="150">
        <f>+SUM(W24,U24)/$U$9</f>
        <v>7.708333333333333</v>
      </c>
      <c r="Y24" s="106"/>
      <c r="Z24" s="809" t="s">
        <v>5</v>
      </c>
      <c r="AA24" s="810"/>
      <c r="AB24" s="204" t="s">
        <v>144</v>
      </c>
      <c r="AC24" s="93">
        <f>+IF(Z24="a",IF(AB24="Developer",HealthCare!K68,HealthCare!K68+HealthCare!K69),IF(Z24="b",IF(AB24="Developer",HealthCare!K75,HealthCare!K75+HealthCare!K76),IF(Z24="c",IF(AB24="Developer",HealthCare!K82,HealthCare!K82+HealthCare!K83),IF(AB24="Developer",HealthCare!K89,HealthCare!K89+HealthCare!K90))))</f>
        <v>0</v>
      </c>
      <c r="AD24" s="143" t="str">
        <f>+IF(AB24="Developer","Tenant + Either party",IF(AB24="Developer + Either party","Tenant"))</f>
        <v>Tenant + Either party</v>
      </c>
      <c r="AE24" s="143">
        <f>+IF(Z24="a",IF(AD24="Tenant",HealthCare!K70,HealthCare!K70+HealthCare!K69),IF(Z24="b",IF(AD24="Tenant",HealthCare!K77,HealthCare!K77+HealthCare!K76),IF(Z24="c",IF(AD24="Tenant",HealthCare!K84,HealthCare!K84+HealthCare!K83),IF(AD24="Tenant",HealthCare!K91,HealthCare!K91+HealthCare!K90))))</f>
        <v>27500</v>
      </c>
      <c r="AF24" s="150">
        <f>+SUM(AE24,AC24)/$AC$9</f>
        <v>6.875</v>
      </c>
      <c r="AG24" s="106"/>
      <c r="AH24" s="809" t="s">
        <v>5</v>
      </c>
      <c r="AI24" s="810"/>
      <c r="AJ24" s="204" t="s">
        <v>144</v>
      </c>
      <c r="AK24" s="93">
        <f>+IF(AH24="a",IF(AJ24="Developer",Restaurant!K68,Restaurant!K68+Restaurant!K69),IF(AH24="b",IF(AJ24="Developer",Restaurant!K75,Restaurant!K75+Restaurant!K76),IF(AH24="c",IF(AJ24="Developer",Restaurant!K82,Restaurant!K82+Restaurant!K83),IF(AJ24="Developer",Restaurant!K89,Restaurant!K89+Restaurant!K90))))</f>
        <v>0</v>
      </c>
      <c r="AL24" s="143" t="str">
        <f>+IF(AJ24="Developer","Tenant + Either party",IF(AJ24="Developer + Either party","Tenant"))</f>
        <v>Tenant + Either party</v>
      </c>
      <c r="AM24" s="143">
        <f>+IF(AH24="a",IF(AL24="Tenant",Restaurant!K70,Restaurant!K70+Restaurant!K69),IF(AH24="b",IF(AL24="Tenant",Restaurant!K77,Restaurant!K77+Restaurant!K76),IF(AH24="c",IF(AL24="Tenant",Restaurant!K84,Restaurant!K84+Restaurant!K83),IF(AL24="Tenant",Restaurant!K91,Restaurant!K91+Restaurant!K90))))</f>
        <v>35000</v>
      </c>
      <c r="AN24" s="150">
        <f>+SUM(AM24,AK24)/$AK$9</f>
        <v>8.75</v>
      </c>
      <c r="AO24" s="106"/>
      <c r="AP24" s="809" t="s">
        <v>5</v>
      </c>
      <c r="AQ24" s="810"/>
      <c r="AR24" s="204" t="s">
        <v>144</v>
      </c>
      <c r="AS24" s="93">
        <f>+IF(AP24="a",IF(AR24="Developer",GenRetL!K68,GenRetL!K68+GenRetL!K69),IF(AP24="b",IF(AR24="Developer",GenRetL!K75,GenRetL!K75+GenRetL!K76),IF(AP24="c",IF(AR24="Developer",GenRetL!K82,GenRetL!K82+GenRetL!K83),IF(AR24="Developer",GenRetL!K89,GenRetL!K89+GenRetL!K90))))</f>
        <v>0</v>
      </c>
      <c r="AT24" s="143" t="str">
        <f>+IF(AR24="Developer","Tenant + Either party",IF(AR24="Developer + Either party","Tenant"))</f>
        <v>Tenant + Either party</v>
      </c>
      <c r="AU24" s="143">
        <f>+IF(AP24="a",IF(AT24="Tenant",GenRetL!K70,GenRetL!K70+GenRetL!K69),IF(AP24="b",IF(AT24="Tenant",GenRetL!K77,GenRetL!K77+GenRetL!K76),IF(AP24="c",IF(AT24="Tenant",GenRetL!K84,GenRetL!K84+GenRetL!K83),IF(AT24="Tenant",GenRetL!K91,GenRetL!K91+GenRetL!K90))))</f>
        <v>27500</v>
      </c>
      <c r="AV24" s="150">
        <f>+SUM(AU24,AS24)/$AS$9</f>
        <v>6.875</v>
      </c>
      <c r="AW24" s="106"/>
      <c r="AX24" s="809" t="s">
        <v>5</v>
      </c>
      <c r="AY24" s="810"/>
      <c r="AZ24" s="204" t="s">
        <v>144</v>
      </c>
      <c r="BA24" s="93">
        <f>+IF(AX24="a",IF(AZ24="Developer",GenRetS!K68,GenRetS!K68+GenRetS!K69),IF(AX24="b",IF(AZ24="Developer",GenRetS!K75,GenRetS!K75+GenRetS!K76),IF(AX24="c",IF(AZ24="Developer",GenRetS!K82,GenRetS!K82+GenRetS!K83),IF(AZ24="Developer",GenRetS!K89,GenRetS!K89+GenRetS!K90))))</f>
        <v>0</v>
      </c>
      <c r="BB24" s="143" t="str">
        <f>+IF(AZ24="Developer","Tenant + Either party",IF(AZ24="Developer + Either party","Tenant"))</f>
        <v>Tenant + Either party</v>
      </c>
      <c r="BC24" s="143">
        <f>+IF(AX24="a",IF(BB24="Tenant",GenRetS!K70,GenRetS!K70+GenRetS!K69),IF(AX24="b",IF(BB24="Tenant",GenRetS!K77,GenRetS!K77+GenRetS!K76),IF(AX24="c",IF(BB24="Tenant",GenRetS!K84,GenRetS!K84+GenRetS!K83),IF(BB24="Tenant",GenRetS!K91,GenRetS!K91+GenRetS!K90))))</f>
        <v>19000</v>
      </c>
      <c r="BD24" s="150">
        <f>+SUM(BC24,BA24)/$BA$9</f>
        <v>9.5</v>
      </c>
      <c r="BE24" s="106"/>
      <c r="BF24" s="809" t="s">
        <v>5</v>
      </c>
      <c r="BG24" s="810"/>
      <c r="BH24" s="204" t="s">
        <v>144</v>
      </c>
      <c r="BI24" s="93">
        <f>+IF(BF24="a",IF(BH24="Developer",Laundr!K68,Laundr!K68+Laundr!K69),IF(BF24="b",IF(BH24="Developer",Laundr!K75,Laundr!K75+Laundr!K76),IF(BF24="c",IF(BH24="Developer",Laundr!K82,Laundr!K82+Laundr!K83),IF(BH24="Developer",Laundr!K89,Laundr!K89+Laundr!K90))))</f>
        <v>0</v>
      </c>
      <c r="BJ24" s="143" t="str">
        <f>+IF(BH24="Developer","Tenant + Either party",IF(BH24="Developer + Either party","Tenant"))</f>
        <v>Tenant + Either party</v>
      </c>
      <c r="BK24" s="143">
        <f>+IF(BF24="a",IF(BJ24="Tenant",Laundr!K70,Laundr!K70+Laundr!K69),IF(BF24="b",IF(BJ24="Tenant",Laundr!K77,Laundr!K77+Laundr!K76),IF(BF24="c",IF(BJ24="Tenant",Laundr!K84,Laundr!K84+Laundr!K83),IF(BJ24="Tenant",Laundr!K91,Laundr!K91+Laundr!K90))))</f>
        <v>19000</v>
      </c>
      <c r="BL24" s="150">
        <f>+SUM(BK24,BI24)/$BI$9</f>
        <v>9.5</v>
      </c>
    </row>
    <row r="25" spans="2:64">
      <c r="B25" s="722">
        <v>1.8</v>
      </c>
      <c r="C25" s="815" t="s">
        <v>22</v>
      </c>
      <c r="D25" s="815"/>
      <c r="E25" s="815"/>
      <c r="F25" s="537"/>
      <c r="G25" s="537"/>
      <c r="H25" s="723"/>
      <c r="I25" s="114"/>
      <c r="J25" s="722">
        <v>1.8</v>
      </c>
      <c r="K25" s="815" t="s">
        <v>22</v>
      </c>
      <c r="L25" s="815"/>
      <c r="M25" s="815"/>
      <c r="N25" s="537"/>
      <c r="O25" s="537"/>
      <c r="P25" s="723"/>
      <c r="Q25" s="114"/>
      <c r="R25" s="722">
        <v>1.8</v>
      </c>
      <c r="S25" s="815" t="s">
        <v>22</v>
      </c>
      <c r="T25" s="815"/>
      <c r="U25" s="815"/>
      <c r="V25" s="537"/>
      <c r="W25" s="537"/>
      <c r="X25" s="723"/>
      <c r="Y25" s="114"/>
      <c r="Z25" s="722">
        <v>1.8</v>
      </c>
      <c r="AA25" s="815" t="s">
        <v>22</v>
      </c>
      <c r="AB25" s="815"/>
      <c r="AC25" s="815"/>
      <c r="AD25" s="537"/>
      <c r="AE25" s="537"/>
      <c r="AF25" s="723"/>
      <c r="AG25" s="114"/>
      <c r="AH25" s="722">
        <v>1.8</v>
      </c>
      <c r="AI25" s="815" t="s">
        <v>22</v>
      </c>
      <c r="AJ25" s="815"/>
      <c r="AK25" s="815"/>
      <c r="AL25" s="537"/>
      <c r="AM25" s="537"/>
      <c r="AN25" s="723"/>
      <c r="AO25" s="114"/>
      <c r="AP25" s="722">
        <v>1.8</v>
      </c>
      <c r="AQ25" s="815" t="s">
        <v>22</v>
      </c>
      <c r="AR25" s="815"/>
      <c r="AS25" s="815"/>
      <c r="AT25" s="537"/>
      <c r="AU25" s="537"/>
      <c r="AV25" s="723"/>
      <c r="AW25" s="114"/>
      <c r="AX25" s="722">
        <v>1.8</v>
      </c>
      <c r="AY25" s="815" t="s">
        <v>22</v>
      </c>
      <c r="AZ25" s="815"/>
      <c r="BA25" s="815"/>
      <c r="BB25" s="537"/>
      <c r="BC25" s="537"/>
      <c r="BD25" s="723"/>
      <c r="BE25" s="114"/>
      <c r="BF25" s="722">
        <v>1.8</v>
      </c>
      <c r="BG25" s="815" t="s">
        <v>22</v>
      </c>
      <c r="BH25" s="815"/>
      <c r="BI25" s="815"/>
      <c r="BJ25" s="537"/>
      <c r="BK25" s="537"/>
      <c r="BL25" s="723"/>
    </row>
    <row r="26" spans="2:64">
      <c r="B26" s="809" t="s">
        <v>5</v>
      </c>
      <c r="C26" s="810"/>
      <c r="D26" s="204" t="s">
        <v>644</v>
      </c>
      <c r="E26" s="143">
        <f>+IF(B26="a",IF(D26="Developer",Supermarket!K97,IF(D26="Developer + Either Party",Supermarket!K97+Supermarket!K98)),IF(B26="b",IF(D26="Developer",Supermarket!K100,IF(D26="Developer + Either Party",Supermarket!K100+Supermarket!K102))))</f>
        <v>6000</v>
      </c>
      <c r="F26" s="143" t="str">
        <f>+IF(D26="Developer","Tenant + Either party",IF(D26="Developer + Either party","Tenant"))</f>
        <v>Tenant</v>
      </c>
      <c r="G26" s="143">
        <f>+IF($B26="a",IF(F26="Tenant",Supermarket!K99,Supermarket!K99+Supermarket!K98),IF($B26="b",IF(F26="Tenant",Supermarket!K103,Supermarket!K103+Supermarket!K102)))</f>
        <v>0</v>
      </c>
      <c r="H26" s="150">
        <f>+SUM(G26,E26)/$E$9</f>
        <v>0.5</v>
      </c>
      <c r="J26" s="809" t="s">
        <v>6</v>
      </c>
      <c r="K26" s="810"/>
      <c r="L26" s="204" t="s">
        <v>644</v>
      </c>
      <c r="M26" s="143">
        <f>+IF(J26="a",IF(L26="Developer",PharmacyL!K97,IF(L26="Developer + Either Party",PharmacyL!K97+PharmacyL!K98)),IF(J26="b",IF(L26="Developer",PharmacyL!K100,IF(L26="Developer + Either Party",PharmacyL!K100+PharmacyL!K102))))</f>
        <v>65000</v>
      </c>
      <c r="N26" s="143" t="str">
        <f>+IF(L26="Developer","Tenant + Either party",IF(L26="Developer + Either party","Tenant"))</f>
        <v>Tenant</v>
      </c>
      <c r="O26" s="143">
        <f>+IF(J26="a",IF(N26="Tenant",PharmacyL!K99,PharmacyL!K99+PharmacyL!K98),IF(J26="b",IF(N26="Tenant",PharmacyL!K103,PharmacyL!K103+PharmacyL!K102)))</f>
        <v>0</v>
      </c>
      <c r="P26" s="150">
        <f>+SUM(O26,M26)/$M$9</f>
        <v>5.416666666666667</v>
      </c>
      <c r="Q26" s="106"/>
      <c r="R26" s="809" t="s">
        <v>5</v>
      </c>
      <c r="S26" s="810"/>
      <c r="T26" s="204" t="s">
        <v>144</v>
      </c>
      <c r="U26" s="143">
        <f>+IF(R26="a",IF(T26="Developer",PharmacyS!K97,IF(T26="Developer + Either Party",PharmacyS!K97+PharmacyS!K98)),IF(R26="b",IF(T26="Developer",PharmacyS!K100,IF(T26="Developer + Either Party",PharmacyS!K100+PharmacyS!K102))))</f>
        <v>4000</v>
      </c>
      <c r="V26" s="143" t="str">
        <f>+IF(T26="Developer","Tenant + Either party",IF(T26="Developer + Either party","Tenant"))</f>
        <v>Tenant + Either party</v>
      </c>
      <c r="W26" s="143">
        <f>+IF(R26="a",IF(V26="Tenant",PharmacyS!K99,PharmacyS!K99+PharmacyS!K98),IF(R26="b",IF(V26="Tenant",PharmacyS!K103,PharmacyS!K103+PharmacyS!K102)))</f>
        <v>0</v>
      </c>
      <c r="X26" s="150">
        <f>+SUM(W26,U26)/$U$9</f>
        <v>0.66666666666666663</v>
      </c>
      <c r="Y26" s="106"/>
      <c r="Z26" s="809" t="s">
        <v>6</v>
      </c>
      <c r="AA26" s="810"/>
      <c r="AB26" s="204" t="s">
        <v>144</v>
      </c>
      <c r="AC26" s="143">
        <f>+IF(Z26="a",IF(AB26="Developer",HealthCare!K97,IF(AB26="Developer + Either Party",HealthCare!K97+HealthCare!K98)),IF(Z26="b",IF(AB26="Developer",HealthCare!K100,IF(AB26="Developer + Either Party",HealthCare!K100+HealthCare!K102))))</f>
        <v>65000</v>
      </c>
      <c r="AD26" s="143" t="str">
        <f>+IF(AB26="Developer","Tenant + Either party",IF(AB26="Developer + Either party","Tenant"))</f>
        <v>Tenant + Either party</v>
      </c>
      <c r="AE26" s="143">
        <f>+IF(Z26="a",IF(AD26="Tenant",HealthCare!K99,HealthCare!K99+HealthCare!K98),IF(Z26="b",IF(AD26="Tenant",HealthCare!K103,HealthCare!K103+HealthCare!K102)))</f>
        <v>0</v>
      </c>
      <c r="AF26" s="150">
        <f>+SUM(AE26,AC26)/$AC$9</f>
        <v>16.25</v>
      </c>
      <c r="AG26" s="106"/>
      <c r="AH26" s="809" t="s">
        <v>6</v>
      </c>
      <c r="AI26" s="810"/>
      <c r="AJ26" s="204" t="s">
        <v>144</v>
      </c>
      <c r="AK26" s="143">
        <f>+IF(AH26="a",IF(AJ26="Developer",Restaurant!K97,IF(AJ26="Developer + Either Party",Restaurant!K97+Restaurant!K98)),IF(AH26="b",IF(AJ26="Developer",Restaurant!K100,IF(AJ26="Developer + Either Party",Restaurant!K100+Restaurant!K102))))</f>
        <v>65000</v>
      </c>
      <c r="AL26" s="143" t="str">
        <f>+IF(AJ26="Developer","Tenant + Either party",IF(AJ26="Developer + Either party","Tenant"))</f>
        <v>Tenant + Either party</v>
      </c>
      <c r="AM26" s="143">
        <f>+IF(AH26="a",IF(AL26="Tenant",Restaurant!K99,Restaurant!K99+Restaurant!K98),IF(AH26="b",IF(AL26="Tenant",Restaurant!K103,Restaurant!K103+Restaurant!K102)))</f>
        <v>0</v>
      </c>
      <c r="AN26" s="150">
        <f>+SUM(AM26,AK26)/$AK$9</f>
        <v>16.25</v>
      </c>
      <c r="AO26" s="106"/>
      <c r="AP26" s="809" t="s">
        <v>5</v>
      </c>
      <c r="AQ26" s="810"/>
      <c r="AR26" s="204" t="s">
        <v>144</v>
      </c>
      <c r="AS26" s="143">
        <f>+IF(AP26="a",IF(AR26="Developer",GenRetL!K97,IF(AR26="Developer + Either Party",GenRetL!K97+GenRetL!K98)),IF(AP26="b",IF(AR26="Developer",GenRetL!K100,IF(AR26="Developer + Either Party",GenRetL!K100+GenRetL!K102))))</f>
        <v>2000</v>
      </c>
      <c r="AT26" s="143" t="str">
        <f>+IF(AR26="Developer","Tenant + Either party",IF(AR26="Developer + Either party","Tenant"))</f>
        <v>Tenant + Either party</v>
      </c>
      <c r="AU26" s="143">
        <f>+IF(AP26="a",IF(AT26="Tenant",GenRetL!K99,GenRetL!K99+GenRetL!K98),IF(AP26="b",IF(AT26="Tenant",GenRetL!K103,GenRetL!K103+GenRetL!K102)))</f>
        <v>0</v>
      </c>
      <c r="AV26" s="150">
        <f>+SUM(AU26,AS26)/$AS$9</f>
        <v>0.5</v>
      </c>
      <c r="AW26" s="106"/>
      <c r="AX26" s="809" t="s">
        <v>5</v>
      </c>
      <c r="AY26" s="810"/>
      <c r="AZ26" s="204" t="s">
        <v>144</v>
      </c>
      <c r="BA26" s="143">
        <f>+IF(AX26="a",IF(AZ26="Developer",GenRetS!K97,IF(AZ26="Developer + Either Party",GenRetS!K97+GenRetS!K98)),IF(AX26="b",IF(AZ26="Developer",GenRetS!K100,IF(AZ26="Developer + Either Party",GenRetS!K100+GenRetS!K102))))</f>
        <v>1000</v>
      </c>
      <c r="BB26" s="143" t="str">
        <f>+IF(AZ26="Developer","Tenant + Either party",IF(AZ26="Developer + Either party","Tenant"))</f>
        <v>Tenant + Either party</v>
      </c>
      <c r="BC26" s="143">
        <f>+IF(AX26="a",IF(BB26="Tenant",GenRetS!K99,GenRetS!K99+GenRetS!K98),IF(AX26="b",IF(BB26="Tenant",GenRetS!K103,GenRetS!K103+GenRetS!K102)))</f>
        <v>0</v>
      </c>
      <c r="BD26" s="150">
        <f>+SUM(BC26,BA26)/$BA$9</f>
        <v>0.5</v>
      </c>
      <c r="BE26" s="106"/>
      <c r="BF26" s="809" t="s">
        <v>5</v>
      </c>
      <c r="BG26" s="810"/>
      <c r="BH26" s="204" t="s">
        <v>144</v>
      </c>
      <c r="BI26" s="143">
        <f>+IF(BF26="a",IF(BH26="Developer",Laundr!K97,IF(BH26="Developer + Either Party",Laundr!K97+Laundr!K98)),IF(BF26="b",IF(BH26="Developer",Laundr!K100,IF(BH26="Developer + Either Party",Laundr!K100+Laundr!K102))))</f>
        <v>2000</v>
      </c>
      <c r="BJ26" s="143" t="str">
        <f>+IF(BH26="Developer","Tenant + Either party",IF(BH26="Developer + Either party","Tenant"))</f>
        <v>Tenant + Either party</v>
      </c>
      <c r="BK26" s="143">
        <f>+IF(BF26="a",IF(BJ26="Tenant",Laundr!K99,Laundr!K99+Laundr!K98),IF(BF26="b",IF(BJ26="Tenant",Laundr!K103,Laundr!K103+Laundr!K102)))</f>
        <v>0</v>
      </c>
      <c r="BL26" s="150">
        <f>+SUM(BK26,BI26)/$BI$9</f>
        <v>1</v>
      </c>
    </row>
    <row r="27" spans="2:64">
      <c r="B27" s="125">
        <v>2</v>
      </c>
      <c r="C27" s="115" t="s">
        <v>316</v>
      </c>
      <c r="D27" s="116"/>
      <c r="E27" s="144"/>
      <c r="F27" s="144"/>
      <c r="G27" s="144"/>
      <c r="H27" s="151"/>
      <c r="I27" s="113"/>
      <c r="J27" s="125">
        <v>2</v>
      </c>
      <c r="K27" s="115" t="s">
        <v>316</v>
      </c>
      <c r="L27" s="116"/>
      <c r="M27" s="122"/>
      <c r="N27" s="122"/>
      <c r="O27" s="122"/>
      <c r="P27" s="151"/>
      <c r="Q27" s="113"/>
      <c r="R27" s="125">
        <v>2</v>
      </c>
      <c r="S27" s="115" t="s">
        <v>316</v>
      </c>
      <c r="T27" s="116"/>
      <c r="U27" s="122"/>
      <c r="V27" s="122"/>
      <c r="W27" s="122"/>
      <c r="X27" s="151"/>
      <c r="Y27" s="113"/>
      <c r="Z27" s="125">
        <v>2</v>
      </c>
      <c r="AA27" s="115" t="s">
        <v>316</v>
      </c>
      <c r="AB27" s="116"/>
      <c r="AC27" s="122"/>
      <c r="AD27" s="122"/>
      <c r="AE27" s="122"/>
      <c r="AF27" s="151"/>
      <c r="AG27" s="113"/>
      <c r="AH27" s="125">
        <v>2</v>
      </c>
      <c r="AI27" s="115" t="s">
        <v>316</v>
      </c>
      <c r="AJ27" s="116"/>
      <c r="AK27" s="122"/>
      <c r="AL27" s="122"/>
      <c r="AM27" s="122"/>
      <c r="AN27" s="151"/>
      <c r="AO27" s="113"/>
      <c r="AP27" s="125">
        <v>2</v>
      </c>
      <c r="AQ27" s="115" t="s">
        <v>316</v>
      </c>
      <c r="AR27" s="116"/>
      <c r="AS27" s="122"/>
      <c r="AT27" s="122"/>
      <c r="AU27" s="122"/>
      <c r="AV27" s="151"/>
      <c r="AW27" s="113"/>
      <c r="AX27" s="125">
        <v>2</v>
      </c>
      <c r="AY27" s="115" t="s">
        <v>316</v>
      </c>
      <c r="AZ27" s="116"/>
      <c r="BA27" s="122"/>
      <c r="BB27" s="122"/>
      <c r="BC27" s="122"/>
      <c r="BD27" s="151"/>
      <c r="BE27" s="113"/>
      <c r="BF27" s="125">
        <v>2</v>
      </c>
      <c r="BG27" s="115" t="s">
        <v>316</v>
      </c>
      <c r="BH27" s="116"/>
      <c r="BI27" s="122"/>
      <c r="BJ27" s="122"/>
      <c r="BK27" s="122"/>
      <c r="BL27" s="151"/>
    </row>
    <row r="28" spans="2:64">
      <c r="B28" s="727">
        <v>2.1</v>
      </c>
      <c r="C28" s="728" t="s">
        <v>34</v>
      </c>
      <c r="D28" s="728"/>
      <c r="E28" s="729"/>
      <c r="F28" s="729"/>
      <c r="G28" s="729"/>
      <c r="H28" s="730"/>
      <c r="I28" s="114"/>
      <c r="J28" s="727">
        <v>2.1</v>
      </c>
      <c r="K28" s="814" t="s">
        <v>34</v>
      </c>
      <c r="L28" s="814"/>
      <c r="M28" s="814"/>
      <c r="N28" s="731"/>
      <c r="O28" s="731"/>
      <c r="P28" s="730"/>
      <c r="Q28" s="114"/>
      <c r="R28" s="727">
        <v>2.1</v>
      </c>
      <c r="S28" s="814" t="s">
        <v>34</v>
      </c>
      <c r="T28" s="814"/>
      <c r="U28" s="814"/>
      <c r="V28" s="731"/>
      <c r="W28" s="731"/>
      <c r="X28" s="730"/>
      <c r="Y28" s="114"/>
      <c r="Z28" s="727">
        <v>2.1</v>
      </c>
      <c r="AA28" s="814" t="s">
        <v>34</v>
      </c>
      <c r="AB28" s="814"/>
      <c r="AC28" s="814"/>
      <c r="AD28" s="731"/>
      <c r="AE28" s="731"/>
      <c r="AF28" s="730"/>
      <c r="AG28" s="114"/>
      <c r="AH28" s="727">
        <v>2.1</v>
      </c>
      <c r="AI28" s="814" t="s">
        <v>34</v>
      </c>
      <c r="AJ28" s="814"/>
      <c r="AK28" s="814"/>
      <c r="AL28" s="731"/>
      <c r="AM28" s="731"/>
      <c r="AN28" s="730"/>
      <c r="AO28" s="114"/>
      <c r="AP28" s="727">
        <v>2.1</v>
      </c>
      <c r="AQ28" s="814" t="s">
        <v>34</v>
      </c>
      <c r="AR28" s="814"/>
      <c r="AS28" s="814"/>
      <c r="AT28" s="731"/>
      <c r="AU28" s="731"/>
      <c r="AV28" s="730"/>
      <c r="AW28" s="114"/>
      <c r="AX28" s="727">
        <v>2.1</v>
      </c>
      <c r="AY28" s="814" t="s">
        <v>34</v>
      </c>
      <c r="AZ28" s="814"/>
      <c r="BA28" s="814"/>
      <c r="BB28" s="731"/>
      <c r="BC28" s="731"/>
      <c r="BD28" s="730"/>
      <c r="BE28" s="114"/>
      <c r="BF28" s="727">
        <v>2.1</v>
      </c>
      <c r="BG28" s="814" t="s">
        <v>34</v>
      </c>
      <c r="BH28" s="814"/>
      <c r="BI28" s="814"/>
      <c r="BJ28" s="731"/>
      <c r="BK28" s="731"/>
      <c r="BL28" s="730"/>
    </row>
    <row r="29" spans="2:64">
      <c r="B29" s="809" t="s">
        <v>5</v>
      </c>
      <c r="C29" s="810"/>
      <c r="D29" s="204" t="s">
        <v>144</v>
      </c>
      <c r="E29" s="143">
        <f>+IF(B29="a",IF(D29="Developer",Supermarket!K106,IF(D29="Developer + Either Party",Supermarket!K106+Supermarket!K109)),IF(B29="b",IF(D29="Developer",Supermarket!K111,IF(D29="Developer + Either Party",Supermarket!K111+Supermarket!K114))))</f>
        <v>9550</v>
      </c>
      <c r="F29" s="143" t="str">
        <f>+IF(D29="Developer","Tenant + Either party",IF(D29="Developer + Either party","Tenant"))</f>
        <v>Tenant + Either party</v>
      </c>
      <c r="G29" s="143">
        <f>+IF($B29="a",IF(F29="Tenant",Supermarket!K110,Supermarket!K110+Supermarket!K109),IF($B29="b",IF(F29="Tenant",Supermarket!K115,Supermarket!K115+Supermarket!K114)))</f>
        <v>1000</v>
      </c>
      <c r="H29" s="150">
        <f>+SUM(G29,E29)/$E$9</f>
        <v>0.87916666666666665</v>
      </c>
      <c r="J29" s="809" t="s">
        <v>5</v>
      </c>
      <c r="K29" s="810"/>
      <c r="L29" s="204" t="s">
        <v>644</v>
      </c>
      <c r="M29" s="143">
        <f>+IF(J29="a",IF(L29="Developer",PharmacyL!K106,IF(L29="Developer + Either Party",PharmacyL!K106+PharmacyL!K109)),IF(J29="b",IF(L29="Developer",PharmacyL!K111,IF(L29="Developer + Either Party",PharmacyL!K111+PharmacyL!K114))))</f>
        <v>6850</v>
      </c>
      <c r="N29" s="143" t="str">
        <f>+IF(L29="Developer","Tenant + Either party",IF(L29="Developer + Either party","Tenant"))</f>
        <v>Tenant</v>
      </c>
      <c r="O29" s="143">
        <f>+IF(J29="a",IF(N29="Tenant",PharmacyL!K110,PharmacyL!K110+PharmacyL!K109),IF(J29="b",IF(N29="Tenant",PharmacyL!K115,PharmacyL!K115+PharmacyL!K114)))</f>
        <v>1000</v>
      </c>
      <c r="P29" s="150">
        <f>+M29/$M$9</f>
        <v>0.5708333333333333</v>
      </c>
      <c r="Q29" s="106"/>
      <c r="R29" s="809" t="s">
        <v>5</v>
      </c>
      <c r="S29" s="810"/>
      <c r="T29" s="204" t="s">
        <v>144</v>
      </c>
      <c r="U29" s="143">
        <f>+IF(R29="a",IF(T29="Developer",PharmacyS!K106,IF(T29="Developer + Either Party",PharmacyS!K106+PharmacyS!K109)),IF(R29="b",IF(T29="Developer",PharmacyS!K111,IF(T29="Developer + Either Party",PharmacyS!K111+PharmacyS!K114))))</f>
        <v>3300</v>
      </c>
      <c r="V29" s="143" t="str">
        <f>+IF(T29="Developer","Tenant + Either party",IF(T29="Developer + Either party","Tenant"))</f>
        <v>Tenant + Either party</v>
      </c>
      <c r="W29" s="143">
        <f>+IF(R29="a",IF(V29="Tenant",PharmacyS!K110,PharmacyS!K110+PharmacyS!K109),IF(R29="b",IF(V29="Tenant",PharmacyS!K115,PharmacyS!K115+PharmacyS!K114)))</f>
        <v>1000</v>
      </c>
      <c r="X29" s="150">
        <f>+SUM(W29,U29)/$U$9</f>
        <v>0.71666666666666667</v>
      </c>
      <c r="Y29" s="106"/>
      <c r="Z29" s="809" t="s">
        <v>5</v>
      </c>
      <c r="AA29" s="810"/>
      <c r="AB29" s="204" t="s">
        <v>144</v>
      </c>
      <c r="AC29" s="143">
        <f>+IF(Z29="a",IF(AB29="Developer",HealthCare!K106,IF(AB29="Developer + Either Party",HealthCare!K106+HealthCare!K109)),IF(Z29="b",IF(AB29="Developer",HealthCare!K111,IF(AB29="Developer + Either Party",HealthCare!K111+HealthCare!K114))))</f>
        <v>3300</v>
      </c>
      <c r="AD29" s="143" t="str">
        <f>+IF(AB29="Developer","Tenant + Either party",IF(AB29="Developer + Either party","Tenant"))</f>
        <v>Tenant + Either party</v>
      </c>
      <c r="AE29" s="143">
        <f>+IF(Z29="a",IF(AD29="Tenant",HealthCare!K110,HealthCare!K110+HealthCare!K109),IF(Z29="b",IF(AD29="Tenant",HealthCare!K115,HealthCare!K115+HealthCare!K114)))</f>
        <v>1000</v>
      </c>
      <c r="AF29" s="150">
        <f>+SUM(AE29,AC29)/$AC$9</f>
        <v>1.075</v>
      </c>
      <c r="AG29" s="106"/>
      <c r="AH29" s="809" t="s">
        <v>5</v>
      </c>
      <c r="AI29" s="810"/>
      <c r="AJ29" s="204" t="s">
        <v>144</v>
      </c>
      <c r="AK29" s="143">
        <f>+IF(AH29="a",IF(AJ29="Developer",Restaurant!K106,IF(AJ29="Developer + Either Party",Restaurant!K106+Restaurant!K109)),IF(AH29="b",IF(AJ29="Developer",Restaurant!K111,IF(AJ29="Developer + Either Party",Restaurant!K111+Restaurant!K114))))</f>
        <v>6850</v>
      </c>
      <c r="AL29" s="143" t="str">
        <f>+IF(AJ29="Developer","Tenant + Either party",IF(AJ29="Developer + Either party","Tenant"))</f>
        <v>Tenant + Either party</v>
      </c>
      <c r="AM29" s="143">
        <f>+IF(AH29="a",IF(AL29="Tenant",Restaurant!K110,Restaurant!K110+Restaurant!K109),IF(AH29="b",IF(AL29="Tenant",Restaurant!K115,Restaurant!K115+Restaurant!K114)))</f>
        <v>1000</v>
      </c>
      <c r="AN29" s="150">
        <f>+SUM(AM29,AK29)/$AK$9</f>
        <v>1.9624999999999999</v>
      </c>
      <c r="AO29" s="106"/>
      <c r="AP29" s="809" t="s">
        <v>5</v>
      </c>
      <c r="AQ29" s="810"/>
      <c r="AR29" s="204" t="s">
        <v>144</v>
      </c>
      <c r="AS29" s="143">
        <f>+IF(AP29="a",IF(AR29="Developer",GenRetL!K106,IF(AR29="Developer + Either Party",GenRetL!K106+GenRetL!K109)),IF(AP29="b",IF(AR29="Developer",GenRetL!K111,IF(AR29="Developer + Either Party",GenRetL!K111+GenRetL!K114))))</f>
        <v>3300</v>
      </c>
      <c r="AT29" s="143" t="str">
        <f>+IF(AR29="Developer","Tenant + Either party",IF(AR29="Developer + Either party","Tenant"))</f>
        <v>Tenant + Either party</v>
      </c>
      <c r="AU29" s="143">
        <f>+IF(AP29="a",IF(AT29="Tenant",GenRetL!K110,GenRetL!K110+GenRetL!K109),IF(AP29="b",IF(AT29="Tenant",GenRetL!K115,GenRetL!K115+GenRetL!K114)))</f>
        <v>1000</v>
      </c>
      <c r="AV29" s="150">
        <f>+SUM(AU29,AS29)/$AS$9</f>
        <v>1.075</v>
      </c>
      <c r="AW29" s="106"/>
      <c r="AX29" s="809" t="s">
        <v>5</v>
      </c>
      <c r="AY29" s="810"/>
      <c r="AZ29" s="204" t="s">
        <v>144</v>
      </c>
      <c r="BA29" s="143">
        <f>+IF(AX29="a",IF(AZ29="Developer",GenRetS!K106,IF(AZ29="Developer + Either Party",GenRetS!K106+GenRetS!K109)),IF(AX29="b",IF(AZ29="Developer",GenRetS!K111,IF(AZ29="Developer + Either Party",GenRetS!K111+GenRetS!K114))))</f>
        <v>2750</v>
      </c>
      <c r="BB29" s="143" t="str">
        <f>+IF(AZ29="Developer","Tenant + Either party",IF(AZ29="Developer + Either party","Tenant"))</f>
        <v>Tenant + Either party</v>
      </c>
      <c r="BC29" s="143">
        <f>+IF(AX29="a",IF(BB29="Tenant",GenRetS!K110,GenRetS!K110+GenRetS!K109),IF(AX29="b",IF(BB29="Tenant",GenRetS!K115,GenRetS!K115+GenRetS!K114)))</f>
        <v>1000</v>
      </c>
      <c r="BD29" s="150">
        <f>+SUM(BC29,BA29)/$BA$9</f>
        <v>1.875</v>
      </c>
      <c r="BE29" s="106"/>
      <c r="BF29" s="809" t="s">
        <v>5</v>
      </c>
      <c r="BG29" s="810"/>
      <c r="BH29" s="204" t="s">
        <v>144</v>
      </c>
      <c r="BI29" s="143">
        <f>+IF(BF29="a",IF(BH29="Developer",Laundr!K106,IF(BH29="Developer + Either Party",Laundr!K106+Laundr!K109)),IF(BF29="b",IF(BH29="Developer",Laundr!K111,IF(BH29="Developer + Either Party",Laundr!K111+Laundr!K114))))</f>
        <v>3300</v>
      </c>
      <c r="BJ29" s="143" t="str">
        <f>+IF(BH29="Developer","Tenant + Either party",IF(BH29="Developer + Either party","Tenant"))</f>
        <v>Tenant + Either party</v>
      </c>
      <c r="BK29" s="143">
        <f>+IF(BF29="a",IF(BJ29="Tenant",Laundr!K110,Laundr!K110+Laundr!K109),IF(BF29="b",IF(BJ29="Tenant",Laundr!K115,Laundr!K115+Laundr!K114)))</f>
        <v>1000</v>
      </c>
      <c r="BL29" s="150">
        <f>+SUM(BK29,BI29)/$BI$9</f>
        <v>2.15</v>
      </c>
    </row>
    <row r="30" spans="2:64">
      <c r="B30" s="727">
        <v>2.2000000000000002</v>
      </c>
      <c r="C30" s="814" t="s">
        <v>37</v>
      </c>
      <c r="D30" s="814"/>
      <c r="E30" s="814"/>
      <c r="F30" s="731"/>
      <c r="G30" s="731"/>
      <c r="H30" s="730"/>
      <c r="I30" s="114"/>
      <c r="J30" s="727">
        <v>2.2000000000000002</v>
      </c>
      <c r="K30" s="814" t="s">
        <v>37</v>
      </c>
      <c r="L30" s="814"/>
      <c r="M30" s="814"/>
      <c r="N30" s="731"/>
      <c r="O30" s="731"/>
      <c r="P30" s="730"/>
      <c r="Q30" s="114"/>
      <c r="R30" s="727">
        <v>2.2000000000000002</v>
      </c>
      <c r="S30" s="814" t="s">
        <v>37</v>
      </c>
      <c r="T30" s="814"/>
      <c r="U30" s="814"/>
      <c r="V30" s="731"/>
      <c r="W30" s="731"/>
      <c r="X30" s="730"/>
      <c r="Y30" s="114"/>
      <c r="Z30" s="727">
        <v>2.2000000000000002</v>
      </c>
      <c r="AA30" s="814" t="s">
        <v>37</v>
      </c>
      <c r="AB30" s="814"/>
      <c r="AC30" s="814"/>
      <c r="AD30" s="731"/>
      <c r="AE30" s="731"/>
      <c r="AF30" s="730"/>
      <c r="AG30" s="114"/>
      <c r="AH30" s="727">
        <v>2.2000000000000002</v>
      </c>
      <c r="AI30" s="814" t="s">
        <v>37</v>
      </c>
      <c r="AJ30" s="814"/>
      <c r="AK30" s="814"/>
      <c r="AL30" s="731"/>
      <c r="AM30" s="731"/>
      <c r="AN30" s="730"/>
      <c r="AO30" s="114"/>
      <c r="AP30" s="727">
        <v>2.2000000000000002</v>
      </c>
      <c r="AQ30" s="814" t="s">
        <v>37</v>
      </c>
      <c r="AR30" s="814"/>
      <c r="AS30" s="814"/>
      <c r="AT30" s="731"/>
      <c r="AU30" s="731"/>
      <c r="AV30" s="730"/>
      <c r="AW30" s="114"/>
      <c r="AX30" s="727">
        <v>2.2000000000000002</v>
      </c>
      <c r="AY30" s="814" t="s">
        <v>37</v>
      </c>
      <c r="AZ30" s="814"/>
      <c r="BA30" s="814"/>
      <c r="BB30" s="731"/>
      <c r="BC30" s="731"/>
      <c r="BD30" s="730"/>
      <c r="BE30" s="114"/>
      <c r="BF30" s="727">
        <v>2.2000000000000002</v>
      </c>
      <c r="BG30" s="814" t="s">
        <v>37</v>
      </c>
      <c r="BH30" s="814"/>
      <c r="BI30" s="814"/>
      <c r="BJ30" s="731"/>
      <c r="BK30" s="731"/>
      <c r="BL30" s="730"/>
    </row>
    <row r="31" spans="2:64">
      <c r="B31" s="809" t="s">
        <v>7</v>
      </c>
      <c r="C31" s="810"/>
      <c r="D31" s="204" t="s">
        <v>144</v>
      </c>
      <c r="E31" s="143">
        <f>+IF(B31="a",IF(D31="Developer",Supermarket!K117,IF(D31="Developer + Either Party",Supermarket!K117+Supermarket!K118)),IF(B31="b",IF(D31="Developer",Supermarket!K120,IF(D31="Developer + Either Party",Supermarket!K120+Supermarket!K121)),IF(B31="c",IF(D31="Developer",Supermarket!K124,IF(D31="Developer + Either Party",Supermarket!K127+Supermarket!K124)))))</f>
        <v>28000</v>
      </c>
      <c r="F31" s="143" t="str">
        <f>+IF(D31="Developer","Tenant + Either party",IF(D31="Developer + Either party","Tenant"))</f>
        <v>Tenant + Either party</v>
      </c>
      <c r="G31" s="143">
        <f>+IF($B31="a",IF(F31="Tenant",Supermarket!K119,Supermarket!K119+Supermarket!K118),IF($B31="b",IF(F31="Tenant",Supermarket!K122,Supermarket!K122+Supermarket!K121),IF($B31="c",IF(F31="Tenant",Supermarket!K128,Supermarket!K128+Supermarket!K127))))</f>
        <v>1000</v>
      </c>
      <c r="H31" s="150">
        <f>+SUM(G31,E31)/$E$9</f>
        <v>2.4166666666666665</v>
      </c>
      <c r="J31" s="809" t="s">
        <v>7</v>
      </c>
      <c r="K31" s="810"/>
      <c r="L31" s="204" t="s">
        <v>644</v>
      </c>
      <c r="M31" s="143">
        <f>+IF(J31="a",IF(L31="Developer",PharmacyL!K117,IF(L31="Developer + Either Party",PharmacyL!K117+PharmacyL!K118)),IF(J31="b",IF(L31="Developer",PharmacyL!K121,IF(L31="Developer + Either Party",PharmacyL!K121+PharmacyL!K122)),IF(J31="c",IF(L31="Developer",PharmacyL!K125,IF(L31="Developer + Either Party",PharmacyL!K125+PharmacyL!K128)))))</f>
        <v>23000</v>
      </c>
      <c r="N31" s="143" t="str">
        <f>+IF(L31="Developer","Tenant + Either party",IF(L31="Developer + Either party","Tenant"))</f>
        <v>Tenant</v>
      </c>
      <c r="O31" s="143">
        <f>+IF(J31="a",IF(N31="Tenant",PharmacyL!K119,PharmacyL!K119+PharmacyL!K118),IF(J31="b",IF(N31="Tenant",PharmacyL!K123,PharmacyL!K123+PharmacyL!K122),IF(J31="c",IF(N31="Tenant",PharmacyL!K129,PharmacyL!K129+PharmacyL!K128))))</f>
        <v>1000</v>
      </c>
      <c r="P31" s="150">
        <f>+M31/$M$9</f>
        <v>1.9166666666666667</v>
      </c>
      <c r="Q31" s="106"/>
      <c r="R31" s="809" t="s">
        <v>5</v>
      </c>
      <c r="S31" s="810"/>
      <c r="T31" s="204" t="s">
        <v>644</v>
      </c>
      <c r="U31" s="143">
        <f>+IF(R31="a",IF(T31="Developer",PharmacyS!K117,IF(T31="Developer + Either Party",PharmacyS!K117+PharmacyS!K118)),IF(R31="b",IF(T31="Developer",PharmacyS!K121,IF(T31="Developer + Either Party",PharmacyS!K121+PharmacyS!K122)),IF(R31="c",IF(T31="Developer",PharmacyS!K125,IF(T31="Developer + Either Party",PharmacyS!K125+PharmacyS!K128)))))</f>
        <v>0</v>
      </c>
      <c r="V31" s="143" t="str">
        <f>+IF(T31="Developer","Tenant + Either party",IF(T31="Developer + Either party","Tenant"))</f>
        <v>Tenant</v>
      </c>
      <c r="W31" s="143">
        <f>+IF(R31="a",IF(V31="Tenant",PharmacyS!K119,PharmacyS!K119+PharmacyS!K118),IF(R31="b",IF(V31="Tenant",PharmacyS!K123,PharmacyS!K123+PharmacyS!K122),IF(R31="c",IF(V31="Tenant",PharmacyS!K129,PharmacyS!K129+PharmacyS!K128))))</f>
        <v>600</v>
      </c>
      <c r="X31" s="150">
        <f>+SUM(W31,U31)/$U$9</f>
        <v>0.1</v>
      </c>
      <c r="Y31" s="106"/>
      <c r="Z31" s="809" t="s">
        <v>5</v>
      </c>
      <c r="AA31" s="810"/>
      <c r="AB31" s="204" t="s">
        <v>144</v>
      </c>
      <c r="AC31" s="143">
        <f>+IF(Z31="a",IF(AB31="Developer",HealthCare!K117,IF(AB31="Developer + Either Party",HealthCare!K117+HealthCare!K118)),IF(Z31="b",IF(AB31="Developer",HealthCare!K121,IF(AB31="Developer + Either Party",HealthCare!K121+HealthCare!K122)),IF(Z31="c",IF(AB31="Developer",HealthCare!K125,IF(AB31="Developer + Either Party",HealthCare!K125+HealthCare!K128)))))</f>
        <v>0</v>
      </c>
      <c r="AD31" s="143" t="str">
        <f>+IF(AB31="Developer","Tenant + Either party",IF(AB31="Developer + Either party","Tenant"))</f>
        <v>Tenant + Either party</v>
      </c>
      <c r="AE31" s="143">
        <f>+IF(Z31="a",IF(AD31="Tenant",HealthCare!K119,HealthCare!K119+HealthCare!K118),IF(Z31="b",IF(AD31="Tenant",HealthCare!K123,HealthCare!K123+HealthCare!K122),IF(Z31="c",IF(AD31="Tenant",HealthCare!K129,HealthCare!K129+HealthCare!K128))))</f>
        <v>450</v>
      </c>
      <c r="AF31" s="150">
        <f>+SUM(AE31,AC31)/$AC$9</f>
        <v>0.1125</v>
      </c>
      <c r="AG31" s="106"/>
      <c r="AH31" s="809" t="s">
        <v>5</v>
      </c>
      <c r="AI31" s="810"/>
      <c r="AJ31" s="204" t="s">
        <v>144</v>
      </c>
      <c r="AK31" s="143">
        <f>+IF(AH31="a",IF(AJ31="Developer",Restaurant!K117,IF(AJ31="Developer + Either Party",Restaurant!K117+Restaurant!K118)),IF(AH31="b",IF(AJ31="Developer",Restaurant!K121,IF(AJ31="Developer + Either Party",Restaurant!K121+Restaurant!K122)),IF(AH31="c",IF(AJ31="Developer",Restaurant!K125,IF(AJ31="Developer + Either Party",Restaurant!K125+Restaurant!K128)))))</f>
        <v>0</v>
      </c>
      <c r="AL31" s="143" t="str">
        <f>+IF(AJ31="Developer","Tenant + Either party",IF(AJ31="Developer + Either party","Tenant"))</f>
        <v>Tenant + Either party</v>
      </c>
      <c r="AM31" s="143">
        <f>+IF(AH31="a",IF(AL31="Tenant",Restaurant!K119,Restaurant!K119+Restaurant!K118),IF(AH31="b",IF(AL31="Tenant",Restaurant!K123,Restaurant!K123+Restaurant!K122),IF(AH31="c",IF(AL31="Tenant",Restaurant!K129,Restaurant!K129+Restaurant!K128))))</f>
        <v>450</v>
      </c>
      <c r="AN31" s="150">
        <f>+SUM(AM31,AK31)/$AK$9</f>
        <v>0.1125</v>
      </c>
      <c r="AO31" s="106"/>
      <c r="AP31" s="809" t="s">
        <v>5</v>
      </c>
      <c r="AQ31" s="810"/>
      <c r="AR31" s="204" t="s">
        <v>144</v>
      </c>
      <c r="AS31" s="143">
        <f>+IF(AP31="a",IF(AR31="Developer",GenRetL!K117,IF(AR31="Developer + Either Party",GenRetL!K117+GenRetL!K118)),IF(AP31="b",IF(AR31="Developer",GenRetL!K121,IF(AR31="Developer + Either Party",GenRetL!K121+GenRetL!K122)),IF(AP31="c",IF(AR31="Developer",GenRetL!K125,IF(AR31="Developer + Either Party",GenRetL!K125+GenRetL!K128)))))</f>
        <v>0</v>
      </c>
      <c r="AT31" s="143" t="str">
        <f>+IF(AR31="Developer","Tenant + Either party",IF(AR31="Developer + Either party","Tenant"))</f>
        <v>Tenant + Either party</v>
      </c>
      <c r="AU31" s="143">
        <f>+IF(AP31="a",IF(AT31="Tenant",GenRetL!K119,GenRetL!K119+GenRetL!K118),IF(AP31="b",IF(AT31="Tenant",GenRetL!K123,GenRetL!K123+GenRetL!K122),IF(AP31="c",IF(AT31="Tenant",GenRetL!K129,GenRetL!K129+GenRetL!K128))))</f>
        <v>600</v>
      </c>
      <c r="AV31" s="150">
        <f>+SUM(AU31,AS31)/$AS$9</f>
        <v>0.15</v>
      </c>
      <c r="AW31" s="106"/>
      <c r="AX31" s="809" t="s">
        <v>5</v>
      </c>
      <c r="AY31" s="810"/>
      <c r="AZ31" s="204" t="s">
        <v>144</v>
      </c>
      <c r="BA31" s="143">
        <f>+IF(AX31="a",IF(AZ31="Developer",GenRetS!K117,IF(AZ31="Developer + Either Party",GenRetS!K117+GenRetS!K118)),IF(AX31="b",IF(AZ31="Developer",GenRetS!K121,IF(AZ31="Developer + Either Party",GenRetS!K121+GenRetS!K122)),IF(AX31="c",IF(AZ31="Developer",GenRetS!K125,IF(AZ31="Developer + Either Party",GenRetS!K125+GenRetS!K128)))))</f>
        <v>0</v>
      </c>
      <c r="BB31" s="143" t="str">
        <f>+IF(AZ31="Developer","Tenant + Either party",IF(AZ31="Developer + Either party","Tenant"))</f>
        <v>Tenant + Either party</v>
      </c>
      <c r="BC31" s="143">
        <f>+IF(AX31="a",IF(BB31="Tenant",GenRetS!K119,GenRetS!K119+GenRetS!K118),IF(AX31="b",IF(BB31="Tenant",GenRetS!K123,GenRetS!K123+GenRetS!K122),IF(AX31="c",IF(BB31="Tenant",GenRetS!K129,GenRetS!K129+GenRetS!K128))))</f>
        <v>300</v>
      </c>
      <c r="BD31" s="150">
        <f>+SUM(BC31,BA31)/$BA$9</f>
        <v>0.15</v>
      </c>
      <c r="BE31" s="106"/>
      <c r="BF31" s="809" t="s">
        <v>5</v>
      </c>
      <c r="BG31" s="810"/>
      <c r="BH31" s="204" t="s">
        <v>144</v>
      </c>
      <c r="BI31" s="143">
        <f>+IF(BF31="a",IF(BH31="Developer",Laundr!K117,IF(BH31="Developer + Either Party",Laundr!K117+Laundr!K118)),IF(BF31="b",IF(BH31="Developer",Laundr!K121,IF(BH31="Developer + Either Party",Laundr!K121+Laundr!K122)),IF(BF31="c",IF(BH31="Developer",Laundr!K125,IF(BH31="Developer + Either Party",Laundr!K125+Laundr!K128)))))</f>
        <v>0</v>
      </c>
      <c r="BJ31" s="143" t="str">
        <f>+IF(BH31="Developer","Tenant + Either party",IF(BH31="Developer + Either party","Tenant"))</f>
        <v>Tenant + Either party</v>
      </c>
      <c r="BK31" s="143">
        <f>+IF(BF31="a",IF(BJ31="Tenant",Laundr!K119,Laundr!K119+Laundr!K118),IF(BF31="b",IF(BJ31="Tenant",Laundr!K123,Laundr!K123+Laundr!K122),IF(BF31="c",IF(BJ31="Tenant",Laundr!K129,Laundr!K129+Laundr!K128))))</f>
        <v>300</v>
      </c>
      <c r="BL31" s="150">
        <f>+SUM(BK31,BI31)/$BI$9</f>
        <v>0.15</v>
      </c>
    </row>
    <row r="32" spans="2:64">
      <c r="B32" s="727">
        <v>2.2999999999999998</v>
      </c>
      <c r="C32" s="814" t="s">
        <v>38</v>
      </c>
      <c r="D32" s="814"/>
      <c r="E32" s="814"/>
      <c r="F32" s="731"/>
      <c r="G32" s="731"/>
      <c r="H32" s="730"/>
      <c r="I32" s="114"/>
      <c r="J32" s="727">
        <v>2.2999999999999998</v>
      </c>
      <c r="K32" s="814" t="s">
        <v>38</v>
      </c>
      <c r="L32" s="814"/>
      <c r="M32" s="814"/>
      <c r="N32" s="731"/>
      <c r="O32" s="731"/>
      <c r="P32" s="730"/>
      <c r="Q32" s="114"/>
      <c r="R32" s="727">
        <v>2.2999999999999998</v>
      </c>
      <c r="S32" s="814" t="s">
        <v>38</v>
      </c>
      <c r="T32" s="814"/>
      <c r="U32" s="814"/>
      <c r="V32" s="731"/>
      <c r="W32" s="731"/>
      <c r="X32" s="730"/>
      <c r="Y32" s="114"/>
      <c r="Z32" s="727">
        <v>2.2999999999999998</v>
      </c>
      <c r="AA32" s="814" t="s">
        <v>38</v>
      </c>
      <c r="AB32" s="814"/>
      <c r="AC32" s="814"/>
      <c r="AD32" s="731"/>
      <c r="AE32" s="731"/>
      <c r="AF32" s="730"/>
      <c r="AG32" s="114"/>
      <c r="AH32" s="727">
        <v>2.2999999999999998</v>
      </c>
      <c r="AI32" s="814" t="s">
        <v>38</v>
      </c>
      <c r="AJ32" s="814"/>
      <c r="AK32" s="814"/>
      <c r="AL32" s="731"/>
      <c r="AM32" s="731"/>
      <c r="AN32" s="730"/>
      <c r="AO32" s="114"/>
      <c r="AP32" s="727">
        <v>2.2999999999999998</v>
      </c>
      <c r="AQ32" s="814" t="s">
        <v>38</v>
      </c>
      <c r="AR32" s="814"/>
      <c r="AS32" s="814"/>
      <c r="AT32" s="731"/>
      <c r="AU32" s="731"/>
      <c r="AV32" s="730"/>
      <c r="AW32" s="114"/>
      <c r="AX32" s="727">
        <v>2.2999999999999998</v>
      </c>
      <c r="AY32" s="814" t="s">
        <v>38</v>
      </c>
      <c r="AZ32" s="814"/>
      <c r="BA32" s="814"/>
      <c r="BB32" s="731"/>
      <c r="BC32" s="731"/>
      <c r="BD32" s="730"/>
      <c r="BE32" s="114"/>
      <c r="BF32" s="727">
        <v>2.2999999999999998</v>
      </c>
      <c r="BG32" s="814" t="s">
        <v>38</v>
      </c>
      <c r="BH32" s="814"/>
      <c r="BI32" s="814"/>
      <c r="BJ32" s="731"/>
      <c r="BK32" s="731"/>
      <c r="BL32" s="730"/>
    </row>
    <row r="33" spans="2:64">
      <c r="B33" s="809" t="s">
        <v>5</v>
      </c>
      <c r="C33" s="810"/>
      <c r="D33" s="204" t="s">
        <v>144</v>
      </c>
      <c r="E33" s="143">
        <f>+IF(B33="a",IF(D33="Developer",Supermarket!K130,IF(D33="Developer + Either Party",Supermarket!K130+Supermarket!K131)),IF(B33="b",IF(D33="Developer",Supermarket!K135,IF(D33="Developer + Either Party",Supermarket!K135+Supermarket!K136))))</f>
        <v>1000</v>
      </c>
      <c r="F33" s="143" t="str">
        <f>+IF(D33="Developer","Tenant + Either party",IF(D33="Developer + Either party","Tenant"))</f>
        <v>Tenant + Either party</v>
      </c>
      <c r="G33" s="143">
        <f>+IF($B33="a",IF(F33="Tenant",Supermarket!K132,Supermarket!K132+Supermarket!K131),IF($B33="b",IF(F33="Tenant",Supermarket!K137,Supermarket!K137+Supermarket!K136)))</f>
        <v>120000</v>
      </c>
      <c r="H33" s="150">
        <f>+SUM(G33,E33)/$E$9</f>
        <v>10.083333333333334</v>
      </c>
      <c r="J33" s="809" t="s">
        <v>5</v>
      </c>
      <c r="K33" s="810"/>
      <c r="L33" s="204" t="s">
        <v>644</v>
      </c>
      <c r="M33" s="143">
        <f>+IF(J33="a",IF(L33="Developer",PharmacyL!K131,IF(L33="Developer + Either Party",PharmacyL!K131+PharmacyL!K132)),IF(J33="b",IF(L33="Developer",PharmacyL!K136,IF(L33="Developer + Either Party",PharmacyL!K136+PharmacyL!K137))))</f>
        <v>1000</v>
      </c>
      <c r="N33" s="143" t="str">
        <f>+IF(L33="Developer","Tenant + Either party",IF(L33="Developer + Either party","Tenant"))</f>
        <v>Tenant</v>
      </c>
      <c r="O33" s="143">
        <f>+IF(J33="a",IF(N33="Tenant",PharmacyL!K133,PharmacyL!K133+PharmacyL!K132),IF(J33="b",IF(N33="Tenant",PharmacyL!K138,PharmacyL!K138+PharmacyL!K137)))</f>
        <v>120000</v>
      </c>
      <c r="P33" s="150">
        <f>+M33/$M$9</f>
        <v>8.3333333333333329E-2</v>
      </c>
      <c r="Q33" s="106"/>
      <c r="R33" s="809" t="s">
        <v>5</v>
      </c>
      <c r="S33" s="810"/>
      <c r="T33" s="204" t="s">
        <v>144</v>
      </c>
      <c r="U33" s="143">
        <f>+IF(R33="a",IF(T33="Developer",PharmacyS!K131,IF(T33="Developer + Either Party",PharmacyS!K131+PharmacyS!K132)),IF(R33="b",IF(T33="Developer",PharmacyS!K136,IF(T33="Developer + Either Party",PharmacyS!K136+PharmacyS!K137))))</f>
        <v>1000</v>
      </c>
      <c r="V33" s="143" t="str">
        <f>+IF(T33="Developer","Tenant + Either party",IF(T33="Developer + Either party","Tenant"))</f>
        <v>Tenant + Either party</v>
      </c>
      <c r="W33" s="143">
        <f>+IF(R33="a",IF(V33="Tenant",PharmacyS!K133,PharmacyS!K133+PharmacyS!K132),IF(R33="b",IF(V33="Tenant",PharmacyS!K138,PharmacyS!K138+PharmacyS!K137)))</f>
        <v>60000</v>
      </c>
      <c r="X33" s="150">
        <f>+SUM(W33,U33)/$U$9</f>
        <v>10.166666666666666</v>
      </c>
      <c r="Y33" s="106"/>
      <c r="Z33" s="809" t="s">
        <v>5</v>
      </c>
      <c r="AA33" s="810"/>
      <c r="AB33" s="204" t="s">
        <v>144</v>
      </c>
      <c r="AC33" s="143">
        <f>+IF(Z33="a",IF(AB33="Developer",HealthCare!K131,IF(AB33="Developer + Either Party",HealthCare!K131+HealthCare!K132)),IF(Z33="b",IF(AB33="Developer",HealthCare!K136,IF(AB33="Developer + Either Party",HealthCare!K136+HealthCare!K137))))</f>
        <v>1000</v>
      </c>
      <c r="AD33" s="143" t="str">
        <f>+IF(AB33="Developer","Tenant + Either party",IF(AB33="Developer + Either party","Tenant"))</f>
        <v>Tenant + Either party</v>
      </c>
      <c r="AE33" s="143">
        <f>+IF(Z33="a",IF(AD33="Tenant",HealthCare!K133,HealthCare!K133+HealthCare!K132),IF(Z33="b",IF(AD33="Tenant",HealthCare!K138,HealthCare!K138+HealthCare!K137)))</f>
        <v>41240</v>
      </c>
      <c r="AF33" s="150">
        <f>+SUM(AE33,AC33)/$AC$9</f>
        <v>10.56</v>
      </c>
      <c r="AG33" s="106"/>
      <c r="AH33" s="809" t="s">
        <v>5</v>
      </c>
      <c r="AI33" s="810"/>
      <c r="AJ33" s="204" t="s">
        <v>144</v>
      </c>
      <c r="AK33" s="143">
        <f>+IF(AH33="a",IF(AJ33="Developer",Restaurant!K131,IF(AJ33="Developer + Either Party",Restaurant!K131+Restaurant!K132)),IF(AH33="b",IF(AJ33="Developer",Restaurant!K136,IF(AJ33="Developer + Either Party",Restaurant!K136+Restaurant!K137))))</f>
        <v>1000</v>
      </c>
      <c r="AL33" s="143" t="str">
        <f>+IF(AJ33="Developer","Tenant + Either party",IF(AJ33="Developer + Either party","Tenant"))</f>
        <v>Tenant + Either party</v>
      </c>
      <c r="AM33" s="143">
        <f>+IF(AH33="a",IF(AL33="Tenant",Restaurant!K133,Restaurant!K133+Restaurant!K132),IF(AH33="b",IF(AL33="Tenant",Restaurant!K138,Restaurant!K138+Restaurant!K137)))</f>
        <v>40000</v>
      </c>
      <c r="AN33" s="150">
        <f>+SUM(AM33,AK33)/$AK$9</f>
        <v>10.25</v>
      </c>
      <c r="AO33" s="106"/>
      <c r="AP33" s="809" t="s">
        <v>5</v>
      </c>
      <c r="AQ33" s="810"/>
      <c r="AR33" s="204" t="s">
        <v>144</v>
      </c>
      <c r="AS33" s="143">
        <f>+IF(AP33="a",IF(AR33="Developer",GenRetL!K131,IF(AR33="Developer + Either Party",GenRetL!K131+GenRetL!K132)),IF(AP33="b",IF(AR33="Developer",GenRetL!K136,IF(AR33="Developer + Either Party",GenRetL!K136+GenRetL!K137))))</f>
        <v>1000</v>
      </c>
      <c r="AT33" s="143" t="str">
        <f>+IF(AR33="Developer","Tenant + Either party",IF(AR33="Developer + Either party","Tenant"))</f>
        <v>Tenant + Either party</v>
      </c>
      <c r="AU33" s="143">
        <f>+IF(AP33="a",IF(AT33="Tenant",GenRetL!K133,GenRetL!K133+GenRetL!K132),IF(AP33="b",IF(AT33="Tenant",GenRetL!K138,GenRetL!K138+GenRetL!K137)))</f>
        <v>40000</v>
      </c>
      <c r="AV33" s="150">
        <f>+SUM(AU33,AS33)/$AS$9</f>
        <v>10.25</v>
      </c>
      <c r="AW33" s="106"/>
      <c r="AX33" s="809" t="s">
        <v>5</v>
      </c>
      <c r="AY33" s="810"/>
      <c r="AZ33" s="204" t="s">
        <v>144</v>
      </c>
      <c r="BA33" s="143">
        <f>+IF(AX33="a",IF(AZ33="Developer",GenRetS!K131,IF(AZ33="Developer + Either Party",GenRetS!K131+GenRetS!K132)),IF(AX33="b",IF(AZ33="Developer",GenRetS!K136,IF(AZ33="Developer + Either Party",GenRetS!K136+GenRetS!K137))))</f>
        <v>1000</v>
      </c>
      <c r="BB33" s="143" t="str">
        <f>+IF(AZ33="Developer","Tenant + Either party",IF(AZ33="Developer + Either party","Tenant"))</f>
        <v>Tenant + Either party</v>
      </c>
      <c r="BC33" s="143">
        <f>+IF(AX33="a",IF(BB33="Tenant",GenRetS!K133,GenRetS!K133+GenRetS!K132),IF(AX33="b",IF(BB33="Tenant",GenRetS!K138,GenRetS!K138+GenRetS!K137)))</f>
        <v>20000</v>
      </c>
      <c r="BD33" s="150">
        <f>+SUM(BC33,BA33)/$BA$9</f>
        <v>10.5</v>
      </c>
      <c r="BE33" s="106"/>
      <c r="BF33" s="809" t="s">
        <v>5</v>
      </c>
      <c r="BG33" s="810"/>
      <c r="BH33" s="204" t="s">
        <v>144</v>
      </c>
      <c r="BI33" s="143">
        <f>+IF(BF33="a",IF(BH33="Developer",Laundr!K131,IF(BH33="Developer + Either Party",Laundr!K131+Laundr!K132)),IF(BF33="b",IF(BH33="Developer",Laundr!K136,IF(BH33="Developer + Either Party",Laundr!K136+Laundr!K137))))</f>
        <v>1000</v>
      </c>
      <c r="BJ33" s="143" t="str">
        <f>+IF(BH33="Developer","Tenant + Either party",IF(BH33="Developer + Either party","Tenant"))</f>
        <v>Tenant + Either party</v>
      </c>
      <c r="BK33" s="143">
        <f>+IF(BF33="a",IF(BJ33="Tenant",Laundr!K133,Laundr!K133+Laundr!K132),IF(BF33="b",IF(BJ33="Tenant",Laundr!K138,Laundr!K138+Laundr!K137)))</f>
        <v>20000</v>
      </c>
      <c r="BL33" s="150">
        <f>+SUM(BK33,BI33)/$BI$9</f>
        <v>10.5</v>
      </c>
    </row>
    <row r="34" spans="2:64">
      <c r="B34" s="126">
        <v>3</v>
      </c>
      <c r="C34" s="117" t="s">
        <v>53</v>
      </c>
      <c r="D34" s="203"/>
      <c r="E34" s="145"/>
      <c r="F34" s="145"/>
      <c r="G34" s="145"/>
      <c r="H34" s="152"/>
      <c r="I34" s="113"/>
      <c r="J34" s="126">
        <v>3</v>
      </c>
      <c r="K34" s="117" t="s">
        <v>53</v>
      </c>
      <c r="L34" s="203"/>
      <c r="M34" s="123"/>
      <c r="N34" s="123"/>
      <c r="O34" s="123"/>
      <c r="P34" s="152"/>
      <c r="Q34" s="113"/>
      <c r="R34" s="126">
        <v>3</v>
      </c>
      <c r="S34" s="117" t="s">
        <v>53</v>
      </c>
      <c r="T34" s="203"/>
      <c r="U34" s="123"/>
      <c r="V34" s="123"/>
      <c r="W34" s="123"/>
      <c r="X34" s="152"/>
      <c r="Y34" s="113"/>
      <c r="Z34" s="126">
        <v>3</v>
      </c>
      <c r="AA34" s="117" t="s">
        <v>53</v>
      </c>
      <c r="AB34" s="203"/>
      <c r="AC34" s="123"/>
      <c r="AD34" s="123"/>
      <c r="AE34" s="123"/>
      <c r="AF34" s="152"/>
      <c r="AG34" s="113"/>
      <c r="AH34" s="126">
        <v>3</v>
      </c>
      <c r="AI34" s="117" t="s">
        <v>53</v>
      </c>
      <c r="AJ34" s="203"/>
      <c r="AK34" s="123"/>
      <c r="AL34" s="123"/>
      <c r="AM34" s="123"/>
      <c r="AN34" s="152"/>
      <c r="AO34" s="113"/>
      <c r="AP34" s="126">
        <v>3</v>
      </c>
      <c r="AQ34" s="117" t="s">
        <v>53</v>
      </c>
      <c r="AR34" s="203"/>
      <c r="AS34" s="123"/>
      <c r="AT34" s="123"/>
      <c r="AU34" s="123"/>
      <c r="AV34" s="152"/>
      <c r="AW34" s="113"/>
      <c r="AX34" s="126">
        <v>3</v>
      </c>
      <c r="AY34" s="117" t="s">
        <v>53</v>
      </c>
      <c r="AZ34" s="203"/>
      <c r="BA34" s="123"/>
      <c r="BB34" s="123"/>
      <c r="BC34" s="123"/>
      <c r="BD34" s="152"/>
      <c r="BE34" s="113"/>
      <c r="BF34" s="126">
        <v>3</v>
      </c>
      <c r="BG34" s="117" t="s">
        <v>53</v>
      </c>
      <c r="BH34" s="203"/>
      <c r="BI34" s="123"/>
      <c r="BJ34" s="123"/>
      <c r="BK34" s="123"/>
      <c r="BL34" s="152"/>
    </row>
    <row r="35" spans="2:64">
      <c r="B35" s="724">
        <v>3.1</v>
      </c>
      <c r="C35" s="811" t="s">
        <v>42</v>
      </c>
      <c r="D35" s="811"/>
      <c r="E35" s="811"/>
      <c r="F35" s="726"/>
      <c r="G35" s="726"/>
      <c r="H35" s="725"/>
      <c r="I35" s="114"/>
      <c r="J35" s="724">
        <v>3.1</v>
      </c>
      <c r="K35" s="811" t="s">
        <v>42</v>
      </c>
      <c r="L35" s="811"/>
      <c r="M35" s="811"/>
      <c r="N35" s="726"/>
      <c r="O35" s="726"/>
      <c r="P35" s="725"/>
      <c r="Q35" s="114"/>
      <c r="R35" s="724">
        <v>3.1</v>
      </c>
      <c r="S35" s="811" t="s">
        <v>42</v>
      </c>
      <c r="T35" s="811"/>
      <c r="U35" s="811"/>
      <c r="V35" s="726"/>
      <c r="W35" s="726"/>
      <c r="X35" s="725"/>
      <c r="Y35" s="114"/>
      <c r="Z35" s="724">
        <v>3.1</v>
      </c>
      <c r="AA35" s="811" t="s">
        <v>42</v>
      </c>
      <c r="AB35" s="811"/>
      <c r="AC35" s="811"/>
      <c r="AD35" s="726"/>
      <c r="AE35" s="726"/>
      <c r="AF35" s="725"/>
      <c r="AG35" s="114"/>
      <c r="AH35" s="724">
        <v>3.1</v>
      </c>
      <c r="AI35" s="811" t="s">
        <v>42</v>
      </c>
      <c r="AJ35" s="811"/>
      <c r="AK35" s="811"/>
      <c r="AL35" s="726"/>
      <c r="AM35" s="726"/>
      <c r="AN35" s="725"/>
      <c r="AO35" s="114"/>
      <c r="AP35" s="724">
        <v>3.1</v>
      </c>
      <c r="AQ35" s="811" t="s">
        <v>42</v>
      </c>
      <c r="AR35" s="811"/>
      <c r="AS35" s="811"/>
      <c r="AT35" s="726"/>
      <c r="AU35" s="726"/>
      <c r="AV35" s="725"/>
      <c r="AW35" s="114"/>
      <c r="AX35" s="724">
        <v>3.1</v>
      </c>
      <c r="AY35" s="811" t="s">
        <v>42</v>
      </c>
      <c r="AZ35" s="811"/>
      <c r="BA35" s="811"/>
      <c r="BB35" s="726"/>
      <c r="BC35" s="726"/>
      <c r="BD35" s="725"/>
      <c r="BE35" s="114"/>
      <c r="BF35" s="724">
        <v>3.1</v>
      </c>
      <c r="BG35" s="811" t="s">
        <v>42</v>
      </c>
      <c r="BH35" s="811"/>
      <c r="BI35" s="811"/>
      <c r="BJ35" s="726"/>
      <c r="BK35" s="726"/>
      <c r="BL35" s="725"/>
    </row>
    <row r="36" spans="2:64">
      <c r="B36" s="809" t="s">
        <v>5</v>
      </c>
      <c r="C36" s="810"/>
      <c r="D36" s="204" t="s">
        <v>144</v>
      </c>
      <c r="E36" s="143">
        <f>+IF(B36="a",IF(D36="Developer",Supermarket!K142,IF(D36="Developer + Either Party",Supermarket!K142+Supermarket!K144)))</f>
        <v>23500</v>
      </c>
      <c r="F36" s="143" t="str">
        <f>+IF(D36="Developer","Tenant + Either party",IF(D36="Developer + Either party","Tenant"))</f>
        <v>Tenant + Either party</v>
      </c>
      <c r="G36" s="143">
        <f>+IF($B36="a",IF(F36="Tenant",Supermarket!K145,Supermarket!K145+Supermarket!K144))</f>
        <v>36000</v>
      </c>
      <c r="H36" s="150">
        <f>+SUM(G36,E36)/$E$9</f>
        <v>4.958333333333333</v>
      </c>
      <c r="J36" s="809" t="s">
        <v>5</v>
      </c>
      <c r="K36" s="810"/>
      <c r="L36" s="204" t="s">
        <v>644</v>
      </c>
      <c r="M36" s="93">
        <f>+IF(J36="a",(IF(L36="Developer",PharmacyL!K143,IF(L36="Developer + Either Party",PharmacyL!K143+PharmacyL!K145))))</f>
        <v>23500</v>
      </c>
      <c r="N36" s="143" t="str">
        <f>+IF(L36="Developer","Tenant + Either party",IF(L36="Developer + Either party","Tenant"))</f>
        <v>Tenant</v>
      </c>
      <c r="O36" s="143">
        <f>+IF(J36="a",IF(N36="Tenant",PharmacyL!K146,PharmacyL!K146+PharmacyL!K145))</f>
        <v>36000</v>
      </c>
      <c r="P36" s="150">
        <f>+M36/$M$9</f>
        <v>1.9583333333333333</v>
      </c>
      <c r="Q36" s="106"/>
      <c r="R36" s="809" t="s">
        <v>5</v>
      </c>
      <c r="S36" s="810"/>
      <c r="T36" s="204" t="s">
        <v>144</v>
      </c>
      <c r="U36" s="93">
        <f>+IF(R36="a",IF(T36="Developer",PharmacyS!K143,IF(T36="Developer + Either Party",PharmacyS!K143+PharmacyS!K145)))</f>
        <v>23500</v>
      </c>
      <c r="V36" s="143" t="str">
        <f>+IF(T36="Developer","Tenant + Either party",IF(T36="Developer + Either party","Tenant"))</f>
        <v>Tenant + Either party</v>
      </c>
      <c r="W36" s="143">
        <f>+IF(R36="a",IF(V36="Tenant",PharmacyS!K146,PharmacyS!K146+PharmacyS!K145))</f>
        <v>36000</v>
      </c>
      <c r="X36" s="150">
        <f>+SUM(W36,U36)/$U$9</f>
        <v>9.9166666666666661</v>
      </c>
      <c r="Y36" s="106"/>
      <c r="Z36" s="809" t="s">
        <v>5</v>
      </c>
      <c r="AA36" s="810"/>
      <c r="AB36" s="204" t="s">
        <v>144</v>
      </c>
      <c r="AC36" s="93">
        <f>+IF(Z36="a",IF(AB36="Developer",HealthCare!K143,IF(AB36="Developer + Either Party",HealthCare!K143+HealthCare!K145)))</f>
        <v>23500</v>
      </c>
      <c r="AD36" s="143" t="str">
        <f>+IF(AB36="Developer","Tenant + Either party",IF(AB36="Developer + Either party","Tenant"))</f>
        <v>Tenant + Either party</v>
      </c>
      <c r="AE36" s="143">
        <f>+IF(Z36="a",IF(AD36="Tenant",HealthCare!K146,HealthCare!K146+HealthCare!K145))</f>
        <v>36000</v>
      </c>
      <c r="AF36" s="150">
        <f>+SUM(AE36,AC36)/$AC$9</f>
        <v>14.875</v>
      </c>
      <c r="AG36" s="106"/>
      <c r="AH36" s="809" t="s">
        <v>5</v>
      </c>
      <c r="AI36" s="810"/>
      <c r="AJ36" s="204" t="s">
        <v>144</v>
      </c>
      <c r="AK36" s="93">
        <f>+IF(AH36="a",IF(AJ36="Developer",Restaurant!$K$143,IF(AJ36="Developer + Either Party",Restaurant!$K$145+Restaurant!$K$143)))</f>
        <v>23500</v>
      </c>
      <c r="AL36" s="143" t="str">
        <f>+IF(AJ36="Developer","Tenant + Either party",IF(AJ36="Developer + Either party","Tenant"))</f>
        <v>Tenant + Either party</v>
      </c>
      <c r="AM36" s="143">
        <f>+IF(AH36="a",IF(AL36="Tenant",Restaurant!K146,Restaurant!K146+Restaurant!K145))</f>
        <v>36000</v>
      </c>
      <c r="AN36" s="150">
        <f>+SUM(AM36,AK36)/$AK$9</f>
        <v>14.875</v>
      </c>
      <c r="AO36" s="106"/>
      <c r="AP36" s="809" t="s">
        <v>5</v>
      </c>
      <c r="AQ36" s="810"/>
      <c r="AR36" s="204" t="s">
        <v>144</v>
      </c>
      <c r="AS36" s="93">
        <f>+IF(AP36="a",IF(AR36="Developer",GenRetL!$K$143,IF(AR36="Developer + Either Party",GenRetL!$K$145+GenRetL!$K$143)))</f>
        <v>23500</v>
      </c>
      <c r="AT36" s="143" t="str">
        <f>+IF(AR36="Developer","Tenant + Either party",IF(AR36="Developer + Either party","Tenant"))</f>
        <v>Tenant + Either party</v>
      </c>
      <c r="AU36" s="143">
        <f>+IF(AP36="a",IF(AT36="Tenant",GenRetL!K146,GenRetL!K146+GenRetL!K145))</f>
        <v>36000</v>
      </c>
      <c r="AV36" s="150">
        <f>+SUM(AU36,AS36)/$AS$9</f>
        <v>14.875</v>
      </c>
      <c r="AW36" s="106"/>
      <c r="AX36" s="809" t="s">
        <v>5</v>
      </c>
      <c r="AY36" s="810"/>
      <c r="AZ36" s="204" t="s">
        <v>144</v>
      </c>
      <c r="BA36" s="93">
        <f>+IF(AX36="a",IF(AZ36="Developer",GenRetS!$K$143,IF(AZ36="Developer + Either Party",GenRetS!$K$145+GenRetS!$K$143)))</f>
        <v>9500</v>
      </c>
      <c r="BB36" s="143" t="str">
        <f>+IF(AZ36="Developer","Tenant + Either party",IF(AZ36="Developer + Either party","Tenant"))</f>
        <v>Tenant + Either party</v>
      </c>
      <c r="BC36" s="143">
        <f>+IF(AX36="a",IF(BB36="Tenant",GenRetS!K146,GenRetS!K146+GenRetS!K145))</f>
        <v>12000</v>
      </c>
      <c r="BD36" s="150">
        <f>+SUM(BC36,BA36)/$BA$9</f>
        <v>10.75</v>
      </c>
      <c r="BE36" s="106"/>
      <c r="BF36" s="809" t="s">
        <v>5</v>
      </c>
      <c r="BG36" s="810"/>
      <c r="BH36" s="204" t="s">
        <v>144</v>
      </c>
      <c r="BI36" s="93">
        <f>+IF(BF36="a",IF(BH36="Developer",Laundr!$K$143,IF(BH36="Developer + Either Party",Laundr!$K$145+Laundr!$K$143)))</f>
        <v>23500</v>
      </c>
      <c r="BJ36" s="143" t="str">
        <f>+IF(BH36="Developer","Tenant + Either party",IF(BH36="Developer + Either party","Tenant"))</f>
        <v>Tenant + Either party</v>
      </c>
      <c r="BK36" s="143">
        <f>+IF(BF36="a",IF(BJ36="Tenant",Laundr!S146,Laundr!S146+Laundr!S145))</f>
        <v>0</v>
      </c>
      <c r="BL36" s="150">
        <f>+SUM(BK36,BI36)/$BI$9</f>
        <v>11.75</v>
      </c>
    </row>
    <row r="37" spans="2:64">
      <c r="B37" s="724">
        <v>3.2</v>
      </c>
      <c r="C37" s="811" t="s">
        <v>43</v>
      </c>
      <c r="D37" s="811"/>
      <c r="E37" s="811"/>
      <c r="F37" s="726"/>
      <c r="G37" s="726"/>
      <c r="H37" s="725"/>
      <c r="I37" s="114"/>
      <c r="J37" s="724">
        <v>3.2</v>
      </c>
      <c r="K37" s="811" t="s">
        <v>43</v>
      </c>
      <c r="L37" s="811"/>
      <c r="M37" s="811"/>
      <c r="N37" s="726"/>
      <c r="O37" s="726"/>
      <c r="P37" s="725"/>
      <c r="Q37" s="114"/>
      <c r="R37" s="724">
        <v>3.2</v>
      </c>
      <c r="S37" s="811" t="s">
        <v>43</v>
      </c>
      <c r="T37" s="811"/>
      <c r="U37" s="811"/>
      <c r="V37" s="726"/>
      <c r="W37" s="726"/>
      <c r="X37" s="725"/>
      <c r="Y37" s="114"/>
      <c r="Z37" s="724">
        <v>3.2</v>
      </c>
      <c r="AA37" s="811" t="s">
        <v>43</v>
      </c>
      <c r="AB37" s="811"/>
      <c r="AC37" s="811"/>
      <c r="AD37" s="726"/>
      <c r="AE37" s="726"/>
      <c r="AF37" s="725"/>
      <c r="AG37" s="114"/>
      <c r="AH37" s="724">
        <v>3.2</v>
      </c>
      <c r="AI37" s="811" t="s">
        <v>43</v>
      </c>
      <c r="AJ37" s="811"/>
      <c r="AK37" s="811"/>
      <c r="AL37" s="726"/>
      <c r="AM37" s="726"/>
      <c r="AN37" s="725"/>
      <c r="AO37" s="114"/>
      <c r="AP37" s="724">
        <v>3.2</v>
      </c>
      <c r="AQ37" s="811" t="s">
        <v>43</v>
      </c>
      <c r="AR37" s="811"/>
      <c r="AS37" s="811"/>
      <c r="AT37" s="726"/>
      <c r="AU37" s="726"/>
      <c r="AV37" s="725"/>
      <c r="AW37" s="114"/>
      <c r="AX37" s="724">
        <v>3.2</v>
      </c>
      <c r="AY37" s="811" t="s">
        <v>43</v>
      </c>
      <c r="AZ37" s="811"/>
      <c r="BA37" s="811"/>
      <c r="BB37" s="726"/>
      <c r="BC37" s="726"/>
      <c r="BD37" s="725"/>
      <c r="BE37" s="114"/>
      <c r="BF37" s="724">
        <v>3.2</v>
      </c>
      <c r="BG37" s="811" t="s">
        <v>43</v>
      </c>
      <c r="BH37" s="811"/>
      <c r="BI37" s="811"/>
      <c r="BJ37" s="726"/>
      <c r="BK37" s="726"/>
      <c r="BL37" s="725"/>
    </row>
    <row r="38" spans="2:64">
      <c r="B38" s="809" t="s">
        <v>5</v>
      </c>
      <c r="C38" s="810"/>
      <c r="D38" s="204" t="s">
        <v>144</v>
      </c>
      <c r="E38" s="143">
        <f>+IF(B38="a",IF(D38="Developer",Supermarket!K147,IF(D38="Developer + Either Party",Supermarket!K147+Supermarket!K150)),IF(B38="b",IF(D38="Developer",Supermarket!K152,IF(D38="Developer + Either Party",Supermarket!K152+Supermarket!K154)),IF(B38="c",IF(D38="Developer",Supermarket!K156,IF(D38="Developer + Either Party",Supermarket!K156+Supermarket!K157)))))</f>
        <v>21700</v>
      </c>
      <c r="F38" s="143" t="str">
        <f>+IF(D38="Developer","Tenant + Either party",IF(D38="Developer + Either party","Tenant"))</f>
        <v>Tenant + Either party</v>
      </c>
      <c r="G38" s="143">
        <f>+IF($B38="a",IF(F38="Tenant",Supermarket!K151,Supermarket!K151+Supermarket!K150),IF($B38="b",IF(F38="Tenant",Supermarket!K155,Supermarket!K155+Supermarket!K154),IF($B38="c",IF(F38="Tenant",Supermarket!K158,Supermarket!K158+Supermarket!K157))))</f>
        <v>36000</v>
      </c>
      <c r="H38" s="150">
        <f>+SUM(G38,E38)/$E$9</f>
        <v>4.8083333333333336</v>
      </c>
      <c r="J38" s="809" t="s">
        <v>5</v>
      </c>
      <c r="K38" s="810"/>
      <c r="L38" s="204" t="s">
        <v>644</v>
      </c>
      <c r="M38" s="93">
        <f>+IF(J38="a",IF(L38="Developer",PharmacyL!K148,IF(L38="Developer + Either Party",PharmacyL!K148+PharmacyL!K151)),IF(J38="b",IF(L38="Developer",PharmacyL!K153,IF(L38="Developer + Either Party",PharmacyL!K153+PharmacyL!K155)),IF(J38="c",IF(L38="Developer",PharmacyL!K157,IF(L38="Developer + Either Party",PharmacyL!K157+PharmacyL!K158)))))</f>
        <v>21700</v>
      </c>
      <c r="N38" s="143" t="str">
        <f>+IF(L38="Developer","Tenant + Either party",IF(L38="Developer + Either party","Tenant"))</f>
        <v>Tenant</v>
      </c>
      <c r="O38" s="143">
        <f>+IF(J38="a",IF(N38="Tenant",PharmacyL!K152,PharmacyL!K152+PharmacyL!K151),IF(J38="b",IF(N38="Tenant",PharmacyL!K156,PharmacyL!K156+PharmacyL!K155),IF(J38="c",IF(N38="Tenant",PharmacyL!K159,PharmacyL!K159+PharmacyL!K158))))</f>
        <v>36000</v>
      </c>
      <c r="P38" s="150">
        <f>+M38/$M$9</f>
        <v>1.8083333333333333</v>
      </c>
      <c r="Q38" s="106"/>
      <c r="R38" s="809" t="s">
        <v>5</v>
      </c>
      <c r="S38" s="810"/>
      <c r="T38" s="204" t="s">
        <v>556</v>
      </c>
      <c r="U38" s="93">
        <f>+IF(R38="a",IF(T38="Developer",PharmacyS!K148,IF(T38="Developer + Either Party",PharmacyS!K148+PharmacyS!K151)),IF(R38="b",IF(T38="Developer",PharmacyS!K153,IF(T38="Developer + Either Party",PharmacyS!K153+PharmacyS!K155)),IF(R38="c",IF(T38="Developer",PharmacyS!K157,IF(T38="Developer + Either Party",PharmacyS!K157+PharmacyS!K158)))))</f>
        <v>21700</v>
      </c>
      <c r="V38" s="143" t="str">
        <f>+IF(T38="Developer","Tenant + Either party",IF(T38="Developer + Either party","Tenant"))</f>
        <v>Tenant</v>
      </c>
      <c r="W38" s="143">
        <f>+IF(R38="a",IF(V38="Tenant",PharmacyS!K152,PharmacyS!K152+PharmacyS!K151),IF(R38="b",IF(V38="Tenant",PharmacyS!K156,PharmacyS!K156+PharmacyS!K155),IF(R38="c",IF(V38="Tenant",PharmacyS!K159,PharmacyS!K159+PharmacyS!K158))))</f>
        <v>36000</v>
      </c>
      <c r="X38" s="150">
        <f>+SUM(W38,U38)/$U$9</f>
        <v>9.6166666666666671</v>
      </c>
      <c r="Y38" s="106"/>
      <c r="Z38" s="809" t="s">
        <v>7</v>
      </c>
      <c r="AA38" s="810"/>
      <c r="AB38" s="204" t="s">
        <v>144</v>
      </c>
      <c r="AC38" s="93">
        <f>+IF(Z38="a",IF(AB38="Developer",HealthCare!K148,IF(AB38="Developer + Either Party",HealthCare!K148+HealthCare!K151)),IF(Z38="b",IF(AB38="Developer",HealthCare!K153,IF(AB38="Developer + Either Party",HealthCare!K153+HealthCare!K155)),IF(Z38="c",IF(AB38="Developer",HealthCare!K157,IF(AB38="Developer + Either Party",HealthCare!K157+HealthCare!K158)))))</f>
        <v>0</v>
      </c>
      <c r="AD38" s="143" t="str">
        <f>+IF(AB38="Developer","Tenant + Either party",IF(AB38="Developer + Either party","Tenant"))</f>
        <v>Tenant + Either party</v>
      </c>
      <c r="AE38" s="143">
        <f>+IF(Z38="a",IF(AD38="Tenant",HealthCare!K152,HealthCare!K152+HealthCare!K151),IF(Z38="b",IF(AD38="Tenant",HealthCare!K156,HealthCare!K156+HealthCare!K155),IF(Z38="c",IF(AD38="Tenant",HealthCare!K159,HealthCare!K159+HealthCare!K158))))</f>
        <v>2000</v>
      </c>
      <c r="AF38" s="150">
        <f>+SUM(AE38,AC38)/$AC$9</f>
        <v>0.5</v>
      </c>
      <c r="AG38" s="106"/>
      <c r="AH38" s="809" t="s">
        <v>5</v>
      </c>
      <c r="AI38" s="810"/>
      <c r="AJ38" s="204" t="s">
        <v>556</v>
      </c>
      <c r="AK38" s="93">
        <f>+IF(AH38="a",IF(AJ38="Developer",Restaurant!$K$148,IF(AJ38="Developer + Either Party",Restaurant!$K$148+Restaurant!$K$151)),IF(AH38="b",IF(AJ38="Developer",Restaurant!$K$153,IF(AJ38="Developer + Either Party",Restaurant!$K$153+Restaurant!$K$155)),IF(AH38="c",IF(AJ38="Developer",Restaurant!$K$157,IF(AJ38="Developer + Either Party",Restaurant!$K$157+Restaurant!$K$158)))))</f>
        <v>21700</v>
      </c>
      <c r="AL38" s="143" t="str">
        <f>+IF(AJ38="Developer","Tenant + Either party",IF(AJ38="Developer + Either party","Tenant"))</f>
        <v>Tenant</v>
      </c>
      <c r="AM38" s="143">
        <f>+IF(AH38="a",IF(AL38="Tenant",Restaurant!K152,Restaurant!K152+Restaurant!K151),IF(AH38="b",IF(AL38="Tenant",Restaurant!K156,Restaurant!K156+Restaurant!K155),IF(AH38="c",IF(AL38="Tenant",Restaurant!K159,Restaurant!K159+Restaurant!K158))))</f>
        <v>36000</v>
      </c>
      <c r="AN38" s="150">
        <f>+SUM(AM38,AK38)/$AK$9</f>
        <v>14.425000000000001</v>
      </c>
      <c r="AO38" s="106"/>
      <c r="AP38" s="809" t="s">
        <v>5</v>
      </c>
      <c r="AQ38" s="810"/>
      <c r="AR38" s="204" t="s">
        <v>144</v>
      </c>
      <c r="AS38" s="93">
        <f>+IF(AP38="a",IF(AR38="Developer",GenRetL!$K$148,IF(AR38="Developer + Either Party",GenRetL!$K$148+GenRetL!$K$151)),IF(AP38="b",IF(AR38="Developer",GenRetL!$K$153,IF(AR38="Developer + Either Party",GenRetL!$K$153+GenRetL!$K$155)),IF(AP38="c",IF(AR38="Developer",GenRetL!$K$157,IF(AR38="Developer + Either Party",GenRetL!$K$157+GenRetL!$K$158)))))</f>
        <v>0</v>
      </c>
      <c r="AT38" s="143" t="str">
        <f>+IF(AR38="Developer","Tenant + Either party",IF(AR38="Developer + Either party","Tenant"))</f>
        <v>Tenant + Either party</v>
      </c>
      <c r="AU38" s="143">
        <f>+IF(AP38="a",IF(AT38="Tenant",GenRetL!K152,GenRetL!K152+GenRetL!K151),IF(AP38="b",IF(AT38="Tenant",GenRetL!K156,GenRetL!K156+GenRetL!K155),IF(AP38="c",IF(AT38="Tenant",GenRetL!K159,GenRetL!K159+GenRetL!K158))))</f>
        <v>0</v>
      </c>
      <c r="AV38" s="150">
        <f>+SUM(AU38,AS38)/$AS$9</f>
        <v>0</v>
      </c>
      <c r="AW38" s="106"/>
      <c r="AX38" s="809" t="s">
        <v>5</v>
      </c>
      <c r="AY38" s="810"/>
      <c r="AZ38" s="204" t="s">
        <v>144</v>
      </c>
      <c r="BA38" s="93">
        <f>+IF(AX38="a",IF(AZ38="Developer",GenRetS!$K$148,IF(AZ38="Developer + Either Party",GenRetS!$K$148+GenRetS!$K$151,IF(AZ38="Tenant",GenRetS!$K$152,GenRetS!$K$148+GenRetS!$K$152))),IF(AX38="b",IF(AZ38="Developer",GenRetS!$K$153,IF(AZ38="Developer + Either Party",GenRetS!$K$153+GenRetS!$K$155,IF(AZ38="Tenant",GenRetS!$K$156,GenRetS!$K$155+GenRetS!$K$156))),IF(AX38="c",IF(AZ38="Developer",GenRetS!$K$157,IF(AZ38="Developer + Either Party",GenRetS!$K$157+GenRetS!$K$158,IF(AZ38="Tenant",GenRetS!$K$159,GenRetS!$K$158+GenRetS!$K$159))))))</f>
        <v>0</v>
      </c>
      <c r="BB38" s="143" t="str">
        <f>+IF(AZ38="Developer","Tenant + Either party",IF(AZ38="Developer + Either party","Tenant"))</f>
        <v>Tenant + Either party</v>
      </c>
      <c r="BC38" s="143">
        <f>+IF(AX38="a",IF(BB38="Tenant",GenRetS!K152,GenRetS!K152+GenRetS!K151),IF(AX38="b",IF(BB38="Tenant",GenRetS!K156,GenRetS!K156+GenRetS!K155),IF(AX38="c",IF(BB38="Tenant",GenRetS!K159,GenRetS!K159+GenRetS!K158))))</f>
        <v>0</v>
      </c>
      <c r="BD38" s="150">
        <f>+SUM(BC38,BA38)/$BA$9</f>
        <v>0</v>
      </c>
      <c r="BE38" s="106"/>
      <c r="BF38" s="809" t="s">
        <v>5</v>
      </c>
      <c r="BG38" s="810"/>
      <c r="BH38" s="204" t="s">
        <v>144</v>
      </c>
      <c r="BI38" s="93">
        <f>+IF(BF38="a",IF(BH38="Developer",Laundr!$K$148,IF(BH38="Developer + Either Party",Laundr!$K$148+Laundr!$K$151,IF(BH38="Tenant",Laundr!$K$152,Laundr!$K$148+Laundr!$K$152))),IF(BF38="b",IF(BH38="Developer",Laundr!$K$153,IF(BH38="Developer + Either Party",Laundr!$K$153+Laundr!$K$155,IF(BH38="Tenant",Laundr!$K$156,Laundr!$K$155+Laundr!$K$156))),IF(BF38="c",IF(BH38="Developer",Laundr!$K$157,IF(BH38="Developer + Either Party",Laundr!$K$157+Laundr!$K$158,IF(BH38="Tenant",Laundr!$K$159,Laundr!$K$158+Laundr!$K$159))))))</f>
        <v>21700</v>
      </c>
      <c r="BJ38" s="143" t="str">
        <f>+IF(BH38="Developer","Tenant + Either party",IF(BH38="Developer + Either party","Tenant"))</f>
        <v>Tenant + Either party</v>
      </c>
      <c r="BK38" s="143">
        <f>+IF(BF38="a",IF(BJ38="Tenant",Laundr!S152,Laundr!S152+Laundr!S151),IF(BF38="b",IF(BJ38="Tenant",Laundr!S156,Laundr!S156+Laundr!S155),IF(BF38="c",IF(BJ38="Tenant",Laundr!S159,Laundr!S159+Laundr!S158))))</f>
        <v>0</v>
      </c>
      <c r="BL38" s="150">
        <f>+SUM(BK38,BI38)/$BI$9</f>
        <v>10.85</v>
      </c>
    </row>
    <row r="39" spans="2:64">
      <c r="B39" s="724">
        <v>3.3</v>
      </c>
      <c r="C39" s="811" t="s">
        <v>44</v>
      </c>
      <c r="D39" s="811"/>
      <c r="E39" s="811"/>
      <c r="F39" s="726"/>
      <c r="G39" s="726"/>
      <c r="H39" s="725"/>
      <c r="I39" s="114"/>
      <c r="J39" s="724">
        <v>3.3</v>
      </c>
      <c r="K39" s="811" t="s">
        <v>44</v>
      </c>
      <c r="L39" s="811"/>
      <c r="M39" s="811"/>
      <c r="N39" s="726"/>
      <c r="O39" s="726"/>
      <c r="P39" s="725"/>
      <c r="Q39" s="114"/>
      <c r="R39" s="724">
        <v>3.3</v>
      </c>
      <c r="S39" s="811" t="s">
        <v>44</v>
      </c>
      <c r="T39" s="811"/>
      <c r="U39" s="811"/>
      <c r="V39" s="726"/>
      <c r="W39" s="726"/>
      <c r="X39" s="725"/>
      <c r="Y39" s="114"/>
      <c r="Z39" s="724">
        <v>3.3</v>
      </c>
      <c r="AA39" s="811" t="s">
        <v>44</v>
      </c>
      <c r="AB39" s="811"/>
      <c r="AC39" s="811"/>
      <c r="AD39" s="726"/>
      <c r="AE39" s="726"/>
      <c r="AF39" s="725"/>
      <c r="AG39" s="114"/>
      <c r="AH39" s="724">
        <v>3.3</v>
      </c>
      <c r="AI39" s="811" t="s">
        <v>44</v>
      </c>
      <c r="AJ39" s="811"/>
      <c r="AK39" s="811"/>
      <c r="AL39" s="726"/>
      <c r="AM39" s="726"/>
      <c r="AN39" s="725"/>
      <c r="AO39" s="114"/>
      <c r="AP39" s="724">
        <v>3.3</v>
      </c>
      <c r="AQ39" s="811" t="s">
        <v>44</v>
      </c>
      <c r="AR39" s="811"/>
      <c r="AS39" s="811"/>
      <c r="AT39" s="726"/>
      <c r="AU39" s="726"/>
      <c r="AV39" s="725"/>
      <c r="AW39" s="114"/>
      <c r="AX39" s="724">
        <v>3.3</v>
      </c>
      <c r="AY39" s="811" t="s">
        <v>44</v>
      </c>
      <c r="AZ39" s="811"/>
      <c r="BA39" s="811"/>
      <c r="BB39" s="726"/>
      <c r="BC39" s="726"/>
      <c r="BD39" s="725"/>
      <c r="BE39" s="114"/>
      <c r="BF39" s="724">
        <v>3.3</v>
      </c>
      <c r="BG39" s="811" t="s">
        <v>44</v>
      </c>
      <c r="BH39" s="811"/>
      <c r="BI39" s="811"/>
      <c r="BJ39" s="726"/>
      <c r="BK39" s="726"/>
      <c r="BL39" s="725"/>
    </row>
    <row r="40" spans="2:64">
      <c r="B40" s="809" t="s">
        <v>6</v>
      </c>
      <c r="C40" s="810"/>
      <c r="D40" s="204" t="s">
        <v>644</v>
      </c>
      <c r="E40" s="143">
        <f>+IF(B40="a",IF(D40="Developer",Supermarket!K160,IF(D40="Developer + Either Party",Supermarket!K160+Supermarket!K163)),IF(B40="b",IF(D40="Developer",Supermarket!K165,IF(D40="Developer + Either Party",Supermarket!K165+Supermarket!K167)),IF(B40="c",IF(D40="Developer",Supermarket!K169,IF(D40="Developer + Either Party",Supermarket!K169+Supermarket!K172)))))</f>
        <v>4040</v>
      </c>
      <c r="F40" s="143" t="str">
        <f>+IF(D40="Developer","Tenant + Either party",IF(D40="Developer + Either party","Tenant"))</f>
        <v>Tenant</v>
      </c>
      <c r="G40" s="143">
        <f>+IF($B40="a",IF(F40="Tenant",Supermarket!K164,Supermarket!K164+Supermarket!K163),IF($B40="b",IF(F40="Tenant",Supermarket!K168,Supermarket!K168+Supermarket!K167),IF($B40="c",IF(F40="Tenant",Supermarket!K173,Supermarket!K173+Supermarket!K172))))</f>
        <v>1040</v>
      </c>
      <c r="H40" s="150">
        <f>+SUM(G40,E40)/$E$9</f>
        <v>0.42333333333333334</v>
      </c>
      <c r="J40" s="809" t="s">
        <v>6</v>
      </c>
      <c r="K40" s="810"/>
      <c r="L40" s="204" t="s">
        <v>644</v>
      </c>
      <c r="M40" s="93">
        <f>+IF(J40="a",IF(L40="Developer",PharmacyL!K161,IF(L40="Developer + Either Party",PharmacyL!K161+PharmacyL!K164)),IF(J40="b",IF(L40="Developer",PharmacyL!K166,IF(L40="Developer + Either Party",PharmacyL!K166+PharmacyL!K168)),IF(J40="c",IF(L40="Developer",PharmacyL!K170,IF(L40="Developer + Either Party",PharmacyL!K170+PharmacyL!K173)))))</f>
        <v>4040</v>
      </c>
      <c r="N40" s="143" t="str">
        <f>+IF(L40="Developer","Tenant + Either party",IF(L40="Developer + Either party","Tenant"))</f>
        <v>Tenant</v>
      </c>
      <c r="O40" s="143">
        <f>+IF(J40="a",IF(N40="Tenant",PharmacyL!K144,PharmacyL!K164+PharmacyL!K165),IF(J40="b",IF(N40="Tenant",PharmacyL!K169,PharmacyL!K168+PharmacyL!K169),IF(J40="c",IF(N40="Tenant",PharmacyL!K174,PharmacyL!K174+PharmacyL!K173))))</f>
        <v>1040</v>
      </c>
      <c r="P40" s="150">
        <f>+M40/$M$9</f>
        <v>0.33666666666666667</v>
      </c>
      <c r="Q40" s="106"/>
      <c r="R40" s="809" t="s">
        <v>6</v>
      </c>
      <c r="S40" s="810"/>
      <c r="T40" s="204" t="s">
        <v>556</v>
      </c>
      <c r="U40" s="93">
        <f>+IF(R40="a",IF(T40="Developer",PharmacyS!K161,IF(T40="Developer + Either Party",PharmacyS!K161+PharmacyS!K164)),IF(R40="b",IF(T40="Developer",PharmacyS!K166,IF(T40="Developer + Either Party",PharmacyS!K166+PharmacyS!K168)),IF(R40="c",IF(T40="Developer",PharmacyS!K170,IF(T40="Developer + Either Party",PharmacyS!K170+PharmacyS!K173)))))</f>
        <v>4040</v>
      </c>
      <c r="V40" s="143" t="str">
        <f>+IF(T40="Developer","Tenant + Either party",IF(T40="Developer + Either party","Tenant"))</f>
        <v>Tenant</v>
      </c>
      <c r="W40" s="143">
        <f>+IF(R40="a",IF(V40="Tenant",PharmacyS!K144,PharmacyS!K164+PharmacyS!K165),IF(R40="b",IF(V40="Tenant",PharmacyS!K169,PharmacyS!K168+PharmacyS!K169),IF(R40="c",IF(V40="Tenant",PharmacyS!K174,PharmacyS!K174+PharmacyS!K173))))</f>
        <v>1040</v>
      </c>
      <c r="X40" s="150">
        <f>+SUM(W40,U40)/$U$9</f>
        <v>0.84666666666666668</v>
      </c>
      <c r="Y40" s="106"/>
      <c r="Z40" s="809" t="s">
        <v>6</v>
      </c>
      <c r="AA40" s="810"/>
      <c r="AB40" s="204" t="s">
        <v>556</v>
      </c>
      <c r="AC40" s="93">
        <f>+IF(Z40="a",IF(AB40="Developer",HealthCare!K161,IF(AB40="Developer + Either Party",HealthCare!K161+HealthCare!K164)),IF(Z40="b",IF(AB40="Developer",HealthCare!K166,IF(AB40="Developer + Either Party",HealthCare!K166+HealthCare!K168)),IF(Z40="c",IF(AB40="Developer",HealthCare!K170,IF(AB40="Developer + Either Party",HealthCare!K170+HealthCare!K173)))))</f>
        <v>4040</v>
      </c>
      <c r="AD40" s="143" t="str">
        <f>+IF(AB40="Developer","Tenant + Either party",IF(AB40="Developer + Either party","Tenant"))</f>
        <v>Tenant</v>
      </c>
      <c r="AE40" s="143">
        <f>+IF(Z40="a",IF(AD40="Tenant",HealthCare!K144,HealthCare!K164+HealthCare!K165),IF(Z40="b",IF(AD40="Tenant",HealthCare!K169,HealthCare!K168+HealthCare!K169),IF(Z40="c",IF(AD40="Tenant",HealthCare!K174,HealthCare!K174+HealthCare!K173))))</f>
        <v>1040</v>
      </c>
      <c r="AF40" s="150">
        <f>+SUM(AE40,AC40)/$AC$9</f>
        <v>1.27</v>
      </c>
      <c r="AG40" s="106"/>
      <c r="AH40" s="809" t="s">
        <v>6</v>
      </c>
      <c r="AI40" s="810"/>
      <c r="AJ40" s="204" t="s">
        <v>556</v>
      </c>
      <c r="AK40" s="93">
        <f>+IF(AH40="a",IF(AJ40="Developer",Restaurant!$K$161,IF(AJ40="Developer + Either Party",[20]Pharmacy!$K$160+Restaurant!$K$164)),IF(AH40="b",IF(AJ40="Developer",Restaurant!$K$166,IF(AJ40="Developer + Either Party",Restaurant!$K$166+Restaurant!$K$168)),IF(AH40="c",IF(AJ40="Developer",Restaurant!$K$170,IF(AJ40="Developer + Either Party",Restaurant!$K$170+Restaurant!$K$173)))))</f>
        <v>4040</v>
      </c>
      <c r="AL40" s="143" t="str">
        <f>+IF(AJ40="Developer","Tenant + Either party",IF(AJ40="Developer + Either party","Tenant"))</f>
        <v>Tenant</v>
      </c>
      <c r="AM40" s="143">
        <f>+IF(AH40="a",IF(AL40="Tenant",Restaurant!K144,Restaurant!K164+Restaurant!K165),IF(AH40="b",IF(AL40="Tenant",Restaurant!K169,Restaurant!K168+Restaurant!K169),IF(AH40="c",IF(AL40="Tenant",Restaurant!K174,Restaurant!K174+Restaurant!K173))))</f>
        <v>1040</v>
      </c>
      <c r="AN40" s="150">
        <f>+SUM(AM40,AK40)/$AK$9</f>
        <v>1.27</v>
      </c>
      <c r="AO40" s="106"/>
      <c r="AP40" s="809" t="s">
        <v>6</v>
      </c>
      <c r="AQ40" s="810"/>
      <c r="AR40" s="204" t="s">
        <v>556</v>
      </c>
      <c r="AS40" s="93">
        <f>+IF(AP40="a",IF(AR40="Developer",GenRetL!$K$161,IF(AR40="Developer + Either Party",[20]Pharmacy!$K$160+GenRetL!$K$164)),IF(AP40="b",IF(AR40="Developer",GenRetL!$K$166,IF(AR40="Developer + Either Party",GenRetL!$K$166+GenRetL!$K$168)),IF(AP40="c",IF(AR40="Developer",GenRetL!$K$170,IF(AR40="Developer + Either Party",GenRetL!$K$170+GenRetL!$K$173)))))</f>
        <v>4040</v>
      </c>
      <c r="AT40" s="143" t="str">
        <f>+IF(AR40="Developer","Tenant + Either party",IF(AR40="Developer + Either party","Tenant"))</f>
        <v>Tenant</v>
      </c>
      <c r="AU40" s="143">
        <f>+IF(AP40="a",IF(AT40="Tenant",GenRetL!K144,GenRetL!K164+GenRetL!K165),IF(AP40="b",IF(AT40="Tenant",GenRetL!K169,GenRetL!K168+GenRetL!K169),IF(AP40="c",IF(AT40="Tenant",GenRetL!K174,GenRetL!K174+GenRetL!K173))))</f>
        <v>1040</v>
      </c>
      <c r="AV40" s="150">
        <f>+SUM(AU40,AS40)/$AS$9</f>
        <v>1.27</v>
      </c>
      <c r="AW40" s="106"/>
      <c r="AX40" s="809" t="s">
        <v>6</v>
      </c>
      <c r="AY40" s="810"/>
      <c r="AZ40" s="204" t="s">
        <v>556</v>
      </c>
      <c r="BA40" s="93">
        <f>+IF(AX40="a",IF(AZ40="Developer",GenRetS!$K$161,IF(AZ40="Developer + Either Party",[20]Pharmacy!$K$160+GenRetS!$K$164,IF(AZ40="Tenant",GenRetS!$K$165,GenRetS!$K$165+GenRetS!$K$164))),IF(AX40="b",IF(AZ40="Developer",GenRetS!$K$166,IF(AZ40="Developer + Either Party",GenRetS!$K$166+GenRetS!$K$168,IF(AZ40="Tenant",GenRetS!$K$169,GenRetS!$K$168+GenRetS!$K$169))),IF(AX40="c",IF(AZ40="Developer",GenRetS!$K$170,IF(AZ40="Developer + Either Party",GenRetS!$K$170+GenRetS!$K$173,IF(AZ40="Tenant",GenRetS!$K$174,GenRetS!$K$173+GenRetS!$K$174))))))</f>
        <v>1260</v>
      </c>
      <c r="BB40" s="143" t="str">
        <f>+IF(AZ40="Developer","Tenant + Either party",IF(AZ40="Developer + Either party","Tenant"))</f>
        <v>Tenant</v>
      </c>
      <c r="BC40" s="143">
        <f>+IF(AX40="a",IF(BB40="Tenant",GenRetS!K144,GenRetS!K164+GenRetS!K165),IF(AX40="b",IF(BB40="Tenant",GenRetS!K169,GenRetS!K168+GenRetS!K169),IF(AX40="c",IF(BB40="Tenant",GenRetS!K174,GenRetS!K174+GenRetS!K173))))</f>
        <v>260</v>
      </c>
      <c r="BD40" s="150">
        <f>+SUM(BC40,BA40)/$BA$9</f>
        <v>0.76</v>
      </c>
      <c r="BE40" s="106"/>
      <c r="BF40" s="809" t="s">
        <v>6</v>
      </c>
      <c r="BG40" s="810"/>
      <c r="BH40" s="204" t="s">
        <v>556</v>
      </c>
      <c r="BI40" s="93">
        <f>+IF(BF40="a",IF(BH40="Developer",Laundr!$K$161,IF(BH40="Developer + Either Party",[20]Pharmacy!$K$160+Laundr!$K$164,IF(BH40="Tenant",Laundr!$K$165,Laundr!$K$165+Laundr!$K$164))),IF(BF40="b",IF(BH40="Developer",Laundr!$K$166,IF(BH40="Developer + Either Party",Laundr!$K$166+Laundr!$K$168,IF(BH40="Tenant",Laundr!$K$169,Laundr!$K$168+Laundr!$K$169))),IF(BF40="c",IF(BH40="Developer",Laundr!$K$170,IF(BH40="Developer + Either Party",Laundr!$K$170+Laundr!$K$173,IF(BH40="Tenant",Laundr!$K$174,Laundr!$K$173+Laundr!$K$174))))))</f>
        <v>4040</v>
      </c>
      <c r="BJ40" s="143" t="str">
        <f>+IF(BH40="Developer","Tenant + Either party",IF(BH40="Developer + Either party","Tenant"))</f>
        <v>Tenant</v>
      </c>
      <c r="BK40" s="143">
        <f>+IF(BF40="a",IF(BJ40="Tenant",Laundr!S144,Laundr!S164+Laundr!S165),IF(BF40="b",IF(BJ40="Tenant",Laundr!S169,Laundr!S168+Laundr!S169),IF(BF40="c",IF(BJ40="Tenant",Laundr!S174,Laundr!S174+Laundr!S173))))</f>
        <v>0</v>
      </c>
      <c r="BL40" s="150">
        <f>+SUM(BK40,BI40)/$BI$9</f>
        <v>2.02</v>
      </c>
    </row>
    <row r="41" spans="2:64">
      <c r="B41" s="724">
        <v>3.4</v>
      </c>
      <c r="C41" s="811" t="s">
        <v>45</v>
      </c>
      <c r="D41" s="811"/>
      <c r="E41" s="811"/>
      <c r="F41" s="726"/>
      <c r="G41" s="726"/>
      <c r="H41" s="725"/>
      <c r="I41" s="114"/>
      <c r="J41" s="724">
        <v>3.4</v>
      </c>
      <c r="K41" s="811" t="s">
        <v>45</v>
      </c>
      <c r="L41" s="811"/>
      <c r="M41" s="811"/>
      <c r="N41" s="726"/>
      <c r="O41" s="726"/>
      <c r="P41" s="725"/>
      <c r="Q41" s="114"/>
      <c r="R41" s="724">
        <v>3.4</v>
      </c>
      <c r="S41" s="811" t="s">
        <v>45</v>
      </c>
      <c r="T41" s="811"/>
      <c r="U41" s="811"/>
      <c r="V41" s="726"/>
      <c r="W41" s="726"/>
      <c r="X41" s="725"/>
      <c r="Y41" s="114"/>
      <c r="Z41" s="724">
        <v>3.4</v>
      </c>
      <c r="AA41" s="811" t="s">
        <v>45</v>
      </c>
      <c r="AB41" s="811"/>
      <c r="AC41" s="811"/>
      <c r="AD41" s="726"/>
      <c r="AE41" s="726"/>
      <c r="AF41" s="725"/>
      <c r="AG41" s="114"/>
      <c r="AH41" s="724">
        <v>3.4</v>
      </c>
      <c r="AI41" s="811" t="s">
        <v>45</v>
      </c>
      <c r="AJ41" s="811"/>
      <c r="AK41" s="811"/>
      <c r="AL41" s="726"/>
      <c r="AM41" s="726"/>
      <c r="AN41" s="725"/>
      <c r="AO41" s="114"/>
      <c r="AP41" s="724">
        <v>3.4</v>
      </c>
      <c r="AQ41" s="811" t="s">
        <v>45</v>
      </c>
      <c r="AR41" s="811"/>
      <c r="AS41" s="811"/>
      <c r="AT41" s="726"/>
      <c r="AU41" s="726"/>
      <c r="AV41" s="725"/>
      <c r="AW41" s="114"/>
      <c r="AX41" s="724">
        <v>3.4</v>
      </c>
      <c r="AY41" s="811" t="s">
        <v>45</v>
      </c>
      <c r="AZ41" s="811"/>
      <c r="BA41" s="811"/>
      <c r="BB41" s="726"/>
      <c r="BC41" s="726"/>
      <c r="BD41" s="725"/>
      <c r="BE41" s="114"/>
      <c r="BF41" s="724">
        <v>3.4</v>
      </c>
      <c r="BG41" s="811" t="s">
        <v>45</v>
      </c>
      <c r="BH41" s="811"/>
      <c r="BI41" s="811"/>
      <c r="BJ41" s="726"/>
      <c r="BK41" s="726"/>
      <c r="BL41" s="725"/>
    </row>
    <row r="42" spans="2:64">
      <c r="B42" s="809" t="s">
        <v>5</v>
      </c>
      <c r="C42" s="810"/>
      <c r="D42" s="204" t="s">
        <v>644</v>
      </c>
      <c r="E42" s="143">
        <f>+IF(B42="a",IF(D42="Developer",Supermarket!K175,IF(D42="Developer + Either Party",Supermarket!K175+Supermarket!K176)),IF(B42="b",IF(D42="Developer",Supermarket!K178,IF(D42="Developer + Either Party",Supermarket!K179+Supermarket!K178))))</f>
        <v>2500</v>
      </c>
      <c r="F42" s="143" t="str">
        <f>+IF(D42="Developer","Tenant + Either party",IF(D42="Developer + Either party","Tenant"))</f>
        <v>Tenant</v>
      </c>
      <c r="G42" s="143">
        <f>+IF($B42="a",IF(F42="Tenant",Supermarket!K177,Supermarket!K177+Supermarket!K176),IF($B42="b",IF(F42="Tenant",Supermarket!K180,Supermarket!K180+Supermarket!K179)))</f>
        <v>0</v>
      </c>
      <c r="H42" s="150">
        <f>+SUM(G42,E42)/$E$9</f>
        <v>0.20833333333333334</v>
      </c>
      <c r="J42" s="809" t="s">
        <v>5</v>
      </c>
      <c r="K42" s="810"/>
      <c r="L42" s="204" t="s">
        <v>556</v>
      </c>
      <c r="M42" s="219" t="s">
        <v>88</v>
      </c>
      <c r="N42" s="143" t="str">
        <f>+IF(L42="Developer","Tenant + Either party",IF(L42="Developer + Either party","Tenant"))</f>
        <v>Tenant</v>
      </c>
      <c r="O42" s="219" t="s">
        <v>88</v>
      </c>
      <c r="P42" s="150">
        <v>0</v>
      </c>
      <c r="Q42" s="106"/>
      <c r="R42" s="809" t="s">
        <v>5</v>
      </c>
      <c r="S42" s="810"/>
      <c r="T42" s="204" t="s">
        <v>556</v>
      </c>
      <c r="U42" s="219" t="s">
        <v>88</v>
      </c>
      <c r="V42" s="143" t="str">
        <f>+IF(T42="Developer","Tenant + Either party",IF(T42="Developer + Either party","Tenant"))</f>
        <v>Tenant</v>
      </c>
      <c r="W42" s="219" t="s">
        <v>88</v>
      </c>
      <c r="X42" s="150">
        <f>+SUM(W42,U42)/$U$9</f>
        <v>0</v>
      </c>
      <c r="Y42" s="106"/>
      <c r="Z42" s="809" t="s">
        <v>5</v>
      </c>
      <c r="AA42" s="810"/>
      <c r="AB42" s="204" t="s">
        <v>556</v>
      </c>
      <c r="AC42" s="219" t="s">
        <v>88</v>
      </c>
      <c r="AD42" s="143" t="str">
        <f>+IF(AB42="Developer","Tenant + Either party",IF(AB42="Developer + Either party","Tenant"))</f>
        <v>Tenant</v>
      </c>
      <c r="AE42" s="219" t="s">
        <v>88</v>
      </c>
      <c r="AF42" s="150">
        <f>+SUM(AE42,AC42)/$AC$9</f>
        <v>0</v>
      </c>
      <c r="AG42" s="106"/>
      <c r="AH42" s="809" t="s">
        <v>5</v>
      </c>
      <c r="AI42" s="810"/>
      <c r="AJ42" s="204" t="s">
        <v>144</v>
      </c>
      <c r="AK42" s="93">
        <f>+IF(AH42="a",IF(AJ42="Developer",Restaurant!$K$176,IF(AJ42="Developer + Either Party",Restaurant!$K$176+Restaurant!$K$177)),IF(AH42="b",IF(AJ42="Developer",Restaurant!$K$179,IF(AJ42="Developer + Either Party",Restaurant!$K$179+Restaurant!$K$180))))</f>
        <v>0</v>
      </c>
      <c r="AL42" s="143" t="str">
        <f>+IF(AJ42="Developer","Tenant + Either party",IF(AJ42="Developer + Either party","Tenant"))</f>
        <v>Tenant + Either party</v>
      </c>
      <c r="AM42" s="143">
        <f>+IF(AH42="a",IF(AL42="Tenant",Restaurant!K178,Restaurant!K178+Restaurant!K177),IF(AH42="b",IF(AL42="Tenant",Restaurant!K181,Restaurant!K181+Restaurant!K180)))</f>
        <v>2500</v>
      </c>
      <c r="AN42" s="150">
        <f>+SUM(AM42,AK42)/$AK$9</f>
        <v>0.625</v>
      </c>
      <c r="AO42" s="106"/>
      <c r="AP42" s="809" t="s">
        <v>5</v>
      </c>
      <c r="AQ42" s="810"/>
      <c r="AR42" s="204" t="s">
        <v>556</v>
      </c>
      <c r="AS42" s="219" t="s">
        <v>88</v>
      </c>
      <c r="AT42" s="143" t="str">
        <f>+IF(AR42="Developer","Tenant + Either party",IF(AR42="Developer + Either party","Tenant"))</f>
        <v>Tenant</v>
      </c>
      <c r="AU42" s="351" t="s">
        <v>88</v>
      </c>
      <c r="AV42" s="150">
        <f>+SUM(AU42,AS42)/$AS$9</f>
        <v>0</v>
      </c>
      <c r="AW42" s="106"/>
      <c r="AX42" s="809" t="s">
        <v>5</v>
      </c>
      <c r="AY42" s="810"/>
      <c r="AZ42" s="204" t="s">
        <v>556</v>
      </c>
      <c r="BA42" s="219" t="s">
        <v>88</v>
      </c>
      <c r="BB42" s="143" t="str">
        <f>+IF(AZ42="Developer","Tenant + Either party",IF(AZ42="Developer + Either party","Tenant"))</f>
        <v>Tenant</v>
      </c>
      <c r="BC42" s="351" t="s">
        <v>88</v>
      </c>
      <c r="BD42" s="150">
        <f>+SUM(BC42,BA42)/$BA$9</f>
        <v>0</v>
      </c>
      <c r="BE42" s="106"/>
      <c r="BF42" s="809" t="s">
        <v>6</v>
      </c>
      <c r="BG42" s="810"/>
      <c r="BH42" s="204" t="s">
        <v>556</v>
      </c>
      <c r="BI42" s="143">
        <f>+IF(BF42="a",IF(BH42="Developer",Laundr!K176,IF(BH42="Developer + Either Party",Laundr!K176+Laundr!K177)),IF(BF42="b",IF(BH42="Developer",Laundr!K179,IF(BH42="Developer + Either Party",Laundr!K179+Laundr!K180))))</f>
        <v>0</v>
      </c>
      <c r="BJ42" s="143" t="str">
        <f>+IF(BH42="Developer","Tenant + Either party",IF(BH42="Developer + Either party","Tenant"))</f>
        <v>Tenant</v>
      </c>
      <c r="BK42" s="143">
        <f>+IF(BF42="a",IF(BJ42="Tenant",Laundr!K178,Laundr!K178+Laundr!K177),IF(BF42="b",IF(BJ42="Tenant",Laundr!K181,Laundr!K181+Laundr!K180)))</f>
        <v>50000</v>
      </c>
      <c r="BL42" s="150">
        <f>+SUM(BK42,BI42)/$BI$9</f>
        <v>25</v>
      </c>
    </row>
    <row r="43" spans="2:64">
      <c r="B43" s="724">
        <v>3.5</v>
      </c>
      <c r="C43" s="811" t="s">
        <v>46</v>
      </c>
      <c r="D43" s="811"/>
      <c r="E43" s="811"/>
      <c r="F43" s="726"/>
      <c r="G43" s="726"/>
      <c r="H43" s="725"/>
      <c r="I43" s="114"/>
      <c r="J43" s="724">
        <v>3.5</v>
      </c>
      <c r="K43" s="811" t="s">
        <v>46</v>
      </c>
      <c r="L43" s="811"/>
      <c r="M43" s="811"/>
      <c r="N43" s="726"/>
      <c r="O43" s="726"/>
      <c r="P43" s="725"/>
      <c r="Q43" s="114"/>
      <c r="R43" s="724">
        <v>3.5</v>
      </c>
      <c r="S43" s="811" t="s">
        <v>46</v>
      </c>
      <c r="T43" s="811"/>
      <c r="U43" s="811"/>
      <c r="V43" s="726"/>
      <c r="W43" s="726"/>
      <c r="X43" s="725"/>
      <c r="Y43" s="114"/>
      <c r="Z43" s="724">
        <v>3.5</v>
      </c>
      <c r="AA43" s="811" t="s">
        <v>46</v>
      </c>
      <c r="AB43" s="811"/>
      <c r="AC43" s="811"/>
      <c r="AD43" s="726"/>
      <c r="AE43" s="726"/>
      <c r="AF43" s="725"/>
      <c r="AG43" s="114"/>
      <c r="AH43" s="724">
        <v>3.5</v>
      </c>
      <c r="AI43" s="811" t="s">
        <v>46</v>
      </c>
      <c r="AJ43" s="811"/>
      <c r="AK43" s="811"/>
      <c r="AL43" s="726"/>
      <c r="AM43" s="726"/>
      <c r="AN43" s="725"/>
      <c r="AO43" s="114"/>
      <c r="AP43" s="724">
        <v>3.5</v>
      </c>
      <c r="AQ43" s="811" t="s">
        <v>46</v>
      </c>
      <c r="AR43" s="811"/>
      <c r="AS43" s="811"/>
      <c r="AT43" s="726"/>
      <c r="AU43" s="726"/>
      <c r="AV43" s="725"/>
      <c r="AW43" s="114"/>
      <c r="AX43" s="724">
        <v>3.5</v>
      </c>
      <c r="AY43" s="811" t="s">
        <v>46</v>
      </c>
      <c r="AZ43" s="811"/>
      <c r="BA43" s="811"/>
      <c r="BB43" s="726"/>
      <c r="BC43" s="726"/>
      <c r="BD43" s="725"/>
      <c r="BE43" s="114"/>
      <c r="BF43" s="724">
        <v>3.5</v>
      </c>
      <c r="BG43" s="811" t="s">
        <v>46</v>
      </c>
      <c r="BH43" s="811"/>
      <c r="BI43" s="811"/>
      <c r="BJ43" s="726"/>
      <c r="BK43" s="726"/>
      <c r="BL43" s="725"/>
    </row>
    <row r="44" spans="2:64">
      <c r="B44" s="809" t="s">
        <v>5</v>
      </c>
      <c r="C44" s="810"/>
      <c r="D44" s="204" t="s">
        <v>144</v>
      </c>
      <c r="E44" s="143">
        <f>+IF(B44="a",IF(D44="Developer",Supermarket!K182,IF(D44="Developer + Either Party",Supermarket!K182+Supermarket!K183)),IF(B44="b",IF(D44="Developer",Supermarket!K185,IF(D44="Developer + Either Party",Supermarket!K185+Supermarket!K186))))</f>
        <v>5000</v>
      </c>
      <c r="F44" s="143" t="str">
        <f>+IF(D44="Developer","Tenant + Either party",IF(D44="Developer + Either party","Tenant"))</f>
        <v>Tenant + Either party</v>
      </c>
      <c r="G44" s="143">
        <f>+IF($B44="a",IF(F44="Tenant",Supermarket!K184,Supermarket!K184+Supermarket!K183),IF($B44="b",IF(F44="Tenant",Supermarket!K187,Supermarket!K186+Supermarket!K187)))</f>
        <v>11000</v>
      </c>
      <c r="H44" s="150">
        <f>+SUM(G44,E44)/$E$9</f>
        <v>1.3333333333333333</v>
      </c>
      <c r="J44" s="809" t="s">
        <v>5</v>
      </c>
      <c r="K44" s="810"/>
      <c r="L44" s="204" t="s">
        <v>644</v>
      </c>
      <c r="M44" s="219" t="s">
        <v>88</v>
      </c>
      <c r="N44" s="143" t="str">
        <f>+IF(L44="Developer","Tenant + Either party",IF(L44="Developer + Either party","Tenant"))</f>
        <v>Tenant</v>
      </c>
      <c r="O44" s="219" t="s">
        <v>88</v>
      </c>
      <c r="P44" s="150">
        <v>0</v>
      </c>
      <c r="Q44" s="106"/>
      <c r="R44" s="809" t="s">
        <v>5</v>
      </c>
      <c r="S44" s="810"/>
      <c r="T44" s="204" t="s">
        <v>144</v>
      </c>
      <c r="U44" s="219" t="s">
        <v>88</v>
      </c>
      <c r="V44" s="143" t="str">
        <f>+IF(T44="Developer","Tenant + Either party",IF(T44="Developer + Either party","Tenant"))</f>
        <v>Tenant + Either party</v>
      </c>
      <c r="W44" s="219" t="s">
        <v>88</v>
      </c>
      <c r="X44" s="150">
        <f>+SUM(W44,U44)/$U$9</f>
        <v>0</v>
      </c>
      <c r="Y44" s="106"/>
      <c r="Z44" s="809" t="s">
        <v>5</v>
      </c>
      <c r="AA44" s="810"/>
      <c r="AB44" s="204" t="s">
        <v>144</v>
      </c>
      <c r="AC44" s="219" t="s">
        <v>88</v>
      </c>
      <c r="AD44" s="143" t="str">
        <f>+IF(AB44="Developer","Tenant + Either party",IF(AB44="Developer + Either party","Tenant"))</f>
        <v>Tenant + Either party</v>
      </c>
      <c r="AE44" s="219" t="s">
        <v>88</v>
      </c>
      <c r="AF44" s="150">
        <f>+SUM(AE44,AC44)/$AC$9</f>
        <v>0</v>
      </c>
      <c r="AG44" s="106"/>
      <c r="AH44" s="809" t="s">
        <v>5</v>
      </c>
      <c r="AI44" s="810"/>
      <c r="AJ44" s="204" t="s">
        <v>144</v>
      </c>
      <c r="AK44" s="93">
        <f>+IF(AH44="a",IF(AJ44="Developer",Restaurant!$K$183,IF(AJ44="Developer + Either Party",Restaurant!$K$183+Restaurant!$K$184)),IF(AH44="b",IF(AJ44="Developer",Restaurant!$K$186,IF(AJ44="Developer + Either Party",Restaurant!$K$186+Restaurant!$K$187))))</f>
        <v>5000</v>
      </c>
      <c r="AL44" s="143" t="str">
        <f>+IF(AJ44="Developer","Tenant + Either party",IF(AJ44="Developer + Either party","Tenant"))</f>
        <v>Tenant + Either party</v>
      </c>
      <c r="AM44" s="143">
        <f>+IF(AH44="a",IF(AL44="Tenant",Restaurant!K185,Restaurant!K185+Restaurant!K184),IF(AH44="b",IF(AL44="Tenant",Restaurant!K188,Restaurant!K187+Restaurant!K188)))</f>
        <v>11000</v>
      </c>
      <c r="AN44" s="150">
        <f>+SUM(AM44,AK44)/$AK$9</f>
        <v>4</v>
      </c>
      <c r="AO44" s="106"/>
      <c r="AP44" s="809" t="s">
        <v>5</v>
      </c>
      <c r="AQ44" s="810"/>
      <c r="AR44" s="204" t="s">
        <v>144</v>
      </c>
      <c r="AS44" s="219" t="s">
        <v>88</v>
      </c>
      <c r="AT44" s="143" t="str">
        <f>+IF(AR44="Developer","Tenant + Either party",IF(AR44="Developer + Either party","Tenant"))</f>
        <v>Tenant + Either party</v>
      </c>
      <c r="AU44" s="351" t="s">
        <v>88</v>
      </c>
      <c r="AV44" s="150">
        <f>+SUM(AU44,AS44)/$AS$9</f>
        <v>0</v>
      </c>
      <c r="AW44" s="106"/>
      <c r="AX44" s="809" t="s">
        <v>5</v>
      </c>
      <c r="AY44" s="810"/>
      <c r="AZ44" s="204" t="s">
        <v>144</v>
      </c>
      <c r="BA44" s="219" t="s">
        <v>88</v>
      </c>
      <c r="BB44" s="143" t="str">
        <f>+IF(AZ44="Developer","Tenant + Either party",IF(AZ44="Developer + Either party","Tenant"))</f>
        <v>Tenant + Either party</v>
      </c>
      <c r="BC44" s="351" t="s">
        <v>88</v>
      </c>
      <c r="BD44" s="150">
        <f>+SUM(BC44,BA44)/$BA$9</f>
        <v>0</v>
      </c>
      <c r="BE44" s="106"/>
      <c r="BF44" s="809" t="s">
        <v>5</v>
      </c>
      <c r="BG44" s="810"/>
      <c r="BH44" s="204" t="s">
        <v>144</v>
      </c>
      <c r="BI44" s="143">
        <f>+IF(BF44="a",IF(BH44="Developer",Laundr!K183,IF(BH44="Developer + Either Party",Laundr!K183+Laundr!K184)),IF(BF44="b",IF(BH44="Developer",Laundr!K186,IF(BH44="Developer + Either Party",Laundr!K186+Laundr!K187))))</f>
        <v>5000</v>
      </c>
      <c r="BJ44" s="143" t="str">
        <f>+IF(BH44="Developer","Tenant + Either party",IF(BH44="Developer + Either party","Tenant"))</f>
        <v>Tenant + Either party</v>
      </c>
      <c r="BK44" s="143">
        <f>+IF(BF44="a",IF(BJ44="Tenant",Laundr!K185,Laundr!K185+Laundr!K134),IF(BF44="b",IF(BJ44="Tenant",Laundr!K188,Laundr!K188+Laundr!K187)))</f>
        <v>11000</v>
      </c>
      <c r="BL44" s="150">
        <f>+SUM(BK44,BI44)/$BI$9</f>
        <v>8</v>
      </c>
    </row>
    <row r="45" spans="2:64">
      <c r="B45" s="812" t="s">
        <v>54</v>
      </c>
      <c r="C45" s="813"/>
      <c r="D45" s="813"/>
      <c r="E45" s="813"/>
      <c r="F45" s="732"/>
      <c r="G45" s="732"/>
      <c r="H45" s="733"/>
      <c r="I45" s="118"/>
      <c r="J45" s="812" t="s">
        <v>54</v>
      </c>
      <c r="K45" s="813"/>
      <c r="L45" s="813"/>
      <c r="M45" s="813"/>
      <c r="N45" s="732"/>
      <c r="O45" s="732"/>
      <c r="P45" s="733"/>
      <c r="Q45" s="118"/>
      <c r="R45" s="812" t="s">
        <v>54</v>
      </c>
      <c r="S45" s="813"/>
      <c r="T45" s="813"/>
      <c r="U45" s="813"/>
      <c r="V45" s="732"/>
      <c r="W45" s="732"/>
      <c r="X45" s="733"/>
      <c r="Y45" s="118"/>
      <c r="Z45" s="812" t="s">
        <v>54</v>
      </c>
      <c r="AA45" s="813"/>
      <c r="AB45" s="813"/>
      <c r="AC45" s="813"/>
      <c r="AD45" s="732"/>
      <c r="AE45" s="732"/>
      <c r="AF45" s="733"/>
      <c r="AG45" s="118"/>
      <c r="AH45" s="812" t="s">
        <v>54</v>
      </c>
      <c r="AI45" s="813"/>
      <c r="AJ45" s="813"/>
      <c r="AK45" s="813"/>
      <c r="AL45" s="732"/>
      <c r="AM45" s="732"/>
      <c r="AN45" s="733"/>
      <c r="AO45" s="118"/>
      <c r="AP45" s="812" t="s">
        <v>54</v>
      </c>
      <c r="AQ45" s="813"/>
      <c r="AR45" s="813"/>
      <c r="AS45" s="813"/>
      <c r="AT45" s="732"/>
      <c r="AU45" s="732"/>
      <c r="AV45" s="733"/>
      <c r="AW45" s="118"/>
      <c r="AX45" s="812" t="s">
        <v>54</v>
      </c>
      <c r="AY45" s="813"/>
      <c r="AZ45" s="813"/>
      <c r="BA45" s="813"/>
      <c r="BB45" s="732"/>
      <c r="BC45" s="732"/>
      <c r="BD45" s="733"/>
      <c r="BE45" s="118"/>
      <c r="BF45" s="812" t="s">
        <v>54</v>
      </c>
      <c r="BG45" s="813"/>
      <c r="BH45" s="813"/>
      <c r="BI45" s="813"/>
      <c r="BJ45" s="732"/>
      <c r="BK45" s="732"/>
      <c r="BL45" s="733"/>
    </row>
    <row r="46" spans="2:64">
      <c r="B46" s="724">
        <v>3.6</v>
      </c>
      <c r="C46" s="811" t="s">
        <v>47</v>
      </c>
      <c r="D46" s="811"/>
      <c r="E46" s="811"/>
      <c r="F46" s="726"/>
      <c r="G46" s="726"/>
      <c r="H46" s="725"/>
      <c r="I46" s="114"/>
      <c r="J46" s="724">
        <v>3.6</v>
      </c>
      <c r="K46" s="811" t="s">
        <v>47</v>
      </c>
      <c r="L46" s="811"/>
      <c r="M46" s="811"/>
      <c r="N46" s="726"/>
      <c r="O46" s="726"/>
      <c r="P46" s="725"/>
      <c r="Q46" s="114"/>
      <c r="R46" s="724">
        <v>3.6</v>
      </c>
      <c r="S46" s="811" t="s">
        <v>47</v>
      </c>
      <c r="T46" s="811"/>
      <c r="U46" s="811"/>
      <c r="V46" s="726"/>
      <c r="W46" s="726"/>
      <c r="X46" s="725"/>
      <c r="Y46" s="114"/>
      <c r="Z46" s="724">
        <v>3.6</v>
      </c>
      <c r="AA46" s="811" t="s">
        <v>47</v>
      </c>
      <c r="AB46" s="811"/>
      <c r="AC46" s="811"/>
      <c r="AD46" s="726"/>
      <c r="AE46" s="726"/>
      <c r="AF46" s="725"/>
      <c r="AG46" s="114"/>
      <c r="AH46" s="724">
        <v>3.6</v>
      </c>
      <c r="AI46" s="811" t="s">
        <v>47</v>
      </c>
      <c r="AJ46" s="811"/>
      <c r="AK46" s="811"/>
      <c r="AL46" s="726"/>
      <c r="AM46" s="726"/>
      <c r="AN46" s="725"/>
      <c r="AO46" s="114"/>
      <c r="AP46" s="724">
        <v>3.6</v>
      </c>
      <c r="AQ46" s="811" t="s">
        <v>47</v>
      </c>
      <c r="AR46" s="811"/>
      <c r="AS46" s="811"/>
      <c r="AT46" s="726"/>
      <c r="AU46" s="726"/>
      <c r="AV46" s="725"/>
      <c r="AW46" s="114"/>
      <c r="AX46" s="724">
        <v>3.6</v>
      </c>
      <c r="AY46" s="811" t="s">
        <v>47</v>
      </c>
      <c r="AZ46" s="811"/>
      <c r="BA46" s="811"/>
      <c r="BB46" s="726"/>
      <c r="BC46" s="726"/>
      <c r="BD46" s="725"/>
      <c r="BE46" s="114"/>
      <c r="BF46" s="724">
        <v>3.6</v>
      </c>
      <c r="BG46" s="811" t="s">
        <v>47</v>
      </c>
      <c r="BH46" s="811"/>
      <c r="BI46" s="811"/>
      <c r="BJ46" s="726"/>
      <c r="BK46" s="726"/>
      <c r="BL46" s="725"/>
    </row>
    <row r="47" spans="2:64" ht="15.75" customHeight="1" thickBot="1">
      <c r="B47" s="807" t="s">
        <v>5</v>
      </c>
      <c r="C47" s="808"/>
      <c r="D47" s="127" t="s">
        <v>144</v>
      </c>
      <c r="E47" s="146">
        <f>+IF(B47="a",IF(D47="Developer",Supermarket!K190,IF(D47="Developer + Either Party",Supermarket!K190+Supermarket!K192)))</f>
        <v>122600</v>
      </c>
      <c r="F47" s="146" t="str">
        <f>+IF(D47="Developer","Tenant + Either party",IF(D47="Developer + Either party","Tenant"))</f>
        <v>Tenant + Either party</v>
      </c>
      <c r="G47" s="146">
        <f>+IF($B47="a",IF(F47="Tenant",Supermarket!K193,Supermarket!K193+Supermarket!K192))</f>
        <v>0</v>
      </c>
      <c r="H47" s="153">
        <f>+SUM(G47,E47)/$E$9</f>
        <v>10.216666666666667</v>
      </c>
      <c r="J47" s="807" t="s">
        <v>5</v>
      </c>
      <c r="K47" s="808"/>
      <c r="L47" s="127" t="s">
        <v>644</v>
      </c>
      <c r="M47" s="128">
        <f>+IF(J47="a",IF(L47="Developer",PharmacyL!K191,IF(L47="Developer + Either Party",PharmacyL!K191+PharmacyL!K193)))</f>
        <v>122600</v>
      </c>
      <c r="N47" s="146" t="str">
        <f>+IF(L47="Developer","Tenant + Either party",IF(L47="Developer + Either party","Tenant"))</f>
        <v>Tenant</v>
      </c>
      <c r="O47" s="146">
        <f>+IF(J47="a",IF(N47="Tenant",PharmacyL!K194,PharmacyL!K194+PharmacyL!K193))</f>
        <v>0</v>
      </c>
      <c r="P47" s="153">
        <f>+M47/$M$9</f>
        <v>10.216666666666667</v>
      </c>
      <c r="Q47" s="106"/>
      <c r="R47" s="807" t="s">
        <v>5</v>
      </c>
      <c r="S47" s="808"/>
      <c r="T47" s="127" t="s">
        <v>144</v>
      </c>
      <c r="U47" s="128">
        <f>+IF(R47="a",IF(T47="Developer",PharmacyS!K191,IF(T47="Developer + Either Party",PharmacyS!K191+PharmacyS!K193)))</f>
        <v>62600</v>
      </c>
      <c r="V47" s="146" t="str">
        <f>+IF(T47="Developer","Tenant + Either party",IF(T47="Developer + Either party","Tenant"))</f>
        <v>Tenant + Either party</v>
      </c>
      <c r="W47" s="146">
        <f>+IF(R47="a",IF(V47="Tenant",PharmacyS!K194,PharmacyS!K194+PharmacyS!K193))</f>
        <v>0</v>
      </c>
      <c r="X47" s="153">
        <f>+SUM(W47,U47)/$U$9</f>
        <v>10.433333333333334</v>
      </c>
      <c r="Y47" s="106"/>
      <c r="Z47" s="807" t="s">
        <v>5</v>
      </c>
      <c r="AA47" s="808"/>
      <c r="AB47" s="127" t="s">
        <v>144</v>
      </c>
      <c r="AC47" s="128">
        <f>+IF(Z47="a",IF(AB47="Developer",HealthCare!K191,IF(AB47="Developer + Either Party",HealthCare!K191+HealthCare!K193)))</f>
        <v>42600</v>
      </c>
      <c r="AD47" s="146" t="str">
        <f>+IF(AB47="Developer","Tenant + Either party",IF(AB47="Developer + Either party","Tenant"))</f>
        <v>Tenant + Either party</v>
      </c>
      <c r="AE47" s="146">
        <f>+IF(Z47="a",IF(AD47="Tenant",HealthCare!K194,HealthCare!K194+HealthCare!K193))</f>
        <v>0</v>
      </c>
      <c r="AF47" s="153">
        <f>+SUM(AE47,AC47)/$AC$9</f>
        <v>10.65</v>
      </c>
      <c r="AG47" s="106"/>
      <c r="AH47" s="807" t="s">
        <v>5</v>
      </c>
      <c r="AI47" s="808"/>
      <c r="AJ47" s="127" t="s">
        <v>144</v>
      </c>
      <c r="AK47" s="128">
        <f>+IF(AH47="a",IF(AJ47="Developer",Restaurant!$K$191,IF(AJ47="Developer + Either Party",Restaurant!$K$193+Restaurant!$K$191)))</f>
        <v>42600</v>
      </c>
      <c r="AL47" s="146" t="str">
        <f>+IF(AJ47="Developer","Tenant + Either party",IF(AJ47="Developer + Either party","Tenant"))</f>
        <v>Tenant + Either party</v>
      </c>
      <c r="AM47" s="146">
        <f>+IF(AH47="a",IF(AL47="Tenant",Restaurant!K194,Restaurant!K194+Restaurant!K193))</f>
        <v>0</v>
      </c>
      <c r="AN47" s="153">
        <f>+SUM(AM47,AK47)/$AK$9</f>
        <v>10.65</v>
      </c>
      <c r="AO47" s="106"/>
      <c r="AP47" s="807" t="s">
        <v>5</v>
      </c>
      <c r="AQ47" s="808"/>
      <c r="AR47" s="127" t="s">
        <v>144</v>
      </c>
      <c r="AS47" s="128">
        <f>+IF(AP47="a",IF(AR47="Developer",GenRetL!$K$191,IF(AR47="Developer + Either Party",GenRetL!$K$193+GenRetL!$K$191)))</f>
        <v>42600</v>
      </c>
      <c r="AT47" s="146" t="str">
        <f>+IF(AR47="Developer","Tenant + Either party",IF(AR47="Developer + Either party","Tenant"))</f>
        <v>Tenant + Either party</v>
      </c>
      <c r="AU47" s="146">
        <f>+IF(AP47="a",IF(AT47="Tenant",GenRetL!K194,GenRetL!K194+GenRetL!K193))</f>
        <v>0</v>
      </c>
      <c r="AV47" s="153">
        <f>+SUM(AU47,AS47)/$AS$9</f>
        <v>10.65</v>
      </c>
      <c r="AW47" s="106"/>
      <c r="AX47" s="807" t="s">
        <v>5</v>
      </c>
      <c r="AY47" s="808"/>
      <c r="AZ47" s="127" t="s">
        <v>144</v>
      </c>
      <c r="BA47" s="128">
        <f>+IF(AX47="a",IF(AZ47="Developer",GenRetS!$K$191,IF(AZ47="Developer + Either Party",GenRetS!$K$193+GenRetS!$K$191)))</f>
        <v>22600</v>
      </c>
      <c r="BB47" s="146" t="str">
        <f>+IF(AZ47="Developer","Tenant + Either party",IF(AZ47="Developer + Either party","Tenant"))</f>
        <v>Tenant + Either party</v>
      </c>
      <c r="BC47" s="146">
        <f>+IF(AX47="a",IF(BB47="Tenant",GenRetS!K194,GenRetS!K194+GenRetS!K193))</f>
        <v>0</v>
      </c>
      <c r="BD47" s="153">
        <f>+SUM(BC47,BA47)/$BA$9</f>
        <v>11.3</v>
      </c>
      <c r="BE47" s="106"/>
      <c r="BF47" s="807" t="s">
        <v>5</v>
      </c>
      <c r="BG47" s="808"/>
      <c r="BH47" s="127" t="s">
        <v>144</v>
      </c>
      <c r="BI47" s="128">
        <f>+IF(BF47="a",IF(BH47="Developer",Laundr!$K$191,IF(BH47="Developer + Either Party",Laundr!$K$193+Laundr!$K$191)))</f>
        <v>22600</v>
      </c>
      <c r="BJ47" s="146" t="str">
        <f>+IF(BH47="Developer","Tenant + Either party",IF(BH47="Developer + Either party","Tenant"))</f>
        <v>Tenant + Either party</v>
      </c>
      <c r="BK47" s="146">
        <f>+IF(BF47="a",IF(BJ47="Tenant",Laundr!S194,Laundr!S194+Laundr!S193))</f>
        <v>0</v>
      </c>
      <c r="BL47" s="153">
        <f>+SUM(BK47,BI47)/$BI$9</f>
        <v>11.3</v>
      </c>
    </row>
    <row r="48" spans="2:64" ht="6" customHeight="1" thickBot="1"/>
    <row r="49" spans="2:64" ht="15.75" customHeight="1">
      <c r="B49" s="826" t="s">
        <v>567</v>
      </c>
      <c r="C49" s="827"/>
      <c r="D49" s="827"/>
      <c r="E49" s="830">
        <f>+SUM(E8:E47)</f>
        <v>483390</v>
      </c>
      <c r="F49" s="969" t="s">
        <v>568</v>
      </c>
      <c r="G49" s="830">
        <f>+SUM(G8:G47)</f>
        <v>407540</v>
      </c>
      <c r="H49" s="853"/>
      <c r="J49" s="832" t="s">
        <v>567</v>
      </c>
      <c r="K49" s="833"/>
      <c r="L49" s="833"/>
      <c r="M49" s="836">
        <f>+SUM(M12:M47)</f>
        <v>472690</v>
      </c>
      <c r="N49" s="1001" t="s">
        <v>568</v>
      </c>
      <c r="O49" s="836">
        <f>+SUM(O12:O47)</f>
        <v>381230</v>
      </c>
      <c r="P49" s="867"/>
      <c r="R49" s="838" t="s">
        <v>567</v>
      </c>
      <c r="S49" s="839"/>
      <c r="T49" s="839"/>
      <c r="U49" s="842">
        <f>+SUM(U12:U47)</f>
        <v>254140</v>
      </c>
      <c r="V49" s="951" t="s">
        <v>568</v>
      </c>
      <c r="W49" s="842">
        <f>+SUM(W12:W47)</f>
        <v>288890</v>
      </c>
      <c r="X49" s="947"/>
      <c r="Z49" s="875" t="s">
        <v>567</v>
      </c>
      <c r="AA49" s="876"/>
      <c r="AB49" s="876"/>
      <c r="AC49" s="879">
        <f>+SUM(AC12:AC47)</f>
        <v>285940</v>
      </c>
      <c r="AD49" s="963" t="s">
        <v>568</v>
      </c>
      <c r="AE49" s="965">
        <f>+SUM(AE12:AE47)</f>
        <v>180230</v>
      </c>
      <c r="AF49" s="949"/>
      <c r="AG49" s="223"/>
      <c r="AH49" s="929" t="s">
        <v>567</v>
      </c>
      <c r="AI49" s="930"/>
      <c r="AJ49" s="930"/>
      <c r="AK49" s="933">
        <f>+SUM(AK12:AK47)</f>
        <v>433290</v>
      </c>
      <c r="AL49" s="923" t="s">
        <v>568</v>
      </c>
      <c r="AM49" s="925">
        <f>+SUM(AM12:AM47)</f>
        <v>225990</v>
      </c>
      <c r="AN49" s="917"/>
      <c r="AO49" s="205"/>
      <c r="AP49" s="1019" t="s">
        <v>567</v>
      </c>
      <c r="AQ49" s="1020"/>
      <c r="AR49" s="1020"/>
      <c r="AS49" s="937">
        <f>+SUM(AS12:AS47)</f>
        <v>226440</v>
      </c>
      <c r="AT49" s="935" t="s">
        <v>568</v>
      </c>
      <c r="AU49" s="937">
        <f>+SUM(AU12:AU47)</f>
        <v>193140</v>
      </c>
      <c r="AV49" s="919"/>
      <c r="AW49" s="205"/>
      <c r="AX49" s="1023" t="s">
        <v>567</v>
      </c>
      <c r="AY49" s="1024"/>
      <c r="AZ49" s="1024"/>
      <c r="BA49" s="1027">
        <f>+SUM(BA12:BA47)</f>
        <v>160110</v>
      </c>
      <c r="BB49" s="1033" t="s">
        <v>568</v>
      </c>
      <c r="BC49" s="1027">
        <f>+SUM(BC12:BC47)</f>
        <v>131560</v>
      </c>
      <c r="BD49" s="889"/>
      <c r="BE49" s="205"/>
      <c r="BF49" s="897" t="s">
        <v>567</v>
      </c>
      <c r="BG49" s="898"/>
      <c r="BH49" s="898"/>
      <c r="BI49" s="895">
        <f>+SUM(BI12:BI47)</f>
        <v>229140</v>
      </c>
      <c r="BJ49" s="1035" t="s">
        <v>568</v>
      </c>
      <c r="BK49" s="895">
        <f>+SUM(BK12:BK47)</f>
        <v>169300</v>
      </c>
      <c r="BL49" s="893"/>
    </row>
    <row r="50" spans="2:64" ht="15.75" customHeight="1" thickBot="1">
      <c r="B50" s="828"/>
      <c r="C50" s="829"/>
      <c r="D50" s="829"/>
      <c r="E50" s="831"/>
      <c r="F50" s="970"/>
      <c r="G50" s="831"/>
      <c r="H50" s="854"/>
      <c r="J50" s="834"/>
      <c r="K50" s="835"/>
      <c r="L50" s="835"/>
      <c r="M50" s="837"/>
      <c r="N50" s="1002"/>
      <c r="O50" s="837"/>
      <c r="P50" s="868"/>
      <c r="R50" s="840"/>
      <c r="S50" s="841"/>
      <c r="T50" s="841"/>
      <c r="U50" s="843"/>
      <c r="V50" s="952"/>
      <c r="W50" s="843"/>
      <c r="X50" s="948"/>
      <c r="Z50" s="877"/>
      <c r="AA50" s="878"/>
      <c r="AB50" s="878"/>
      <c r="AC50" s="880"/>
      <c r="AD50" s="964"/>
      <c r="AE50" s="966"/>
      <c r="AF50" s="950"/>
      <c r="AG50" s="223"/>
      <c r="AH50" s="931"/>
      <c r="AI50" s="932"/>
      <c r="AJ50" s="932"/>
      <c r="AK50" s="934"/>
      <c r="AL50" s="924"/>
      <c r="AM50" s="926"/>
      <c r="AN50" s="918"/>
      <c r="AO50" s="205"/>
      <c r="AP50" s="1021"/>
      <c r="AQ50" s="1022"/>
      <c r="AR50" s="1022"/>
      <c r="AS50" s="938"/>
      <c r="AT50" s="936"/>
      <c r="AU50" s="938"/>
      <c r="AV50" s="920"/>
      <c r="AW50" s="205"/>
      <c r="AX50" s="1025"/>
      <c r="AY50" s="1026"/>
      <c r="AZ50" s="1026"/>
      <c r="BA50" s="1028"/>
      <c r="BB50" s="1034"/>
      <c r="BC50" s="1028"/>
      <c r="BD50" s="890"/>
      <c r="BE50" s="205"/>
      <c r="BF50" s="899"/>
      <c r="BG50" s="900"/>
      <c r="BH50" s="900"/>
      <c r="BI50" s="896"/>
      <c r="BJ50" s="1036"/>
      <c r="BK50" s="896"/>
      <c r="BL50" s="894"/>
    </row>
    <row r="51" spans="2:64" s="108" customFormat="1" ht="6.75" customHeight="1">
      <c r="B51" s="206"/>
      <c r="C51" s="206"/>
      <c r="D51" s="206"/>
      <c r="E51" s="207"/>
      <c r="F51" s="207"/>
      <c r="G51" s="207"/>
      <c r="H51" s="208"/>
      <c r="I51" s="106"/>
      <c r="J51" s="206"/>
      <c r="K51" s="206"/>
      <c r="L51" s="206"/>
      <c r="M51" s="209"/>
      <c r="N51" s="209"/>
      <c r="O51" s="209"/>
      <c r="P51" s="208"/>
      <c r="R51" s="206"/>
      <c r="S51" s="206"/>
      <c r="T51" s="206"/>
      <c r="U51" s="209"/>
      <c r="V51" s="209"/>
      <c r="W51" s="209"/>
      <c r="X51" s="208"/>
      <c r="Z51" s="206"/>
      <c r="AA51" s="206"/>
      <c r="AB51" s="206"/>
      <c r="AC51" s="209"/>
      <c r="AD51" s="209"/>
      <c r="AE51" s="209"/>
      <c r="AF51" s="208"/>
      <c r="AH51" s="206"/>
      <c r="AI51" s="206"/>
      <c r="AJ51" s="206"/>
      <c r="AK51" s="209"/>
      <c r="AL51" s="209"/>
      <c r="AM51" s="209"/>
      <c r="AN51" s="208"/>
      <c r="AO51" s="205"/>
      <c r="AP51" s="206"/>
      <c r="AQ51" s="206"/>
      <c r="AR51" s="206"/>
      <c r="AS51" s="209"/>
      <c r="AT51" s="209"/>
      <c r="AU51" s="209"/>
      <c r="AV51" s="208"/>
      <c r="AW51" s="205"/>
      <c r="AX51" s="206"/>
      <c r="AY51" s="206"/>
      <c r="AZ51" s="206"/>
      <c r="BA51" s="209"/>
      <c r="BB51" s="209"/>
      <c r="BC51" s="209"/>
      <c r="BD51" s="208"/>
      <c r="BE51" s="205"/>
      <c r="BF51" s="210"/>
      <c r="BG51" s="210"/>
      <c r="BH51" s="210"/>
      <c r="BI51" s="211"/>
      <c r="BJ51" s="211"/>
      <c r="BK51" s="211"/>
      <c r="BL51" s="212"/>
    </row>
    <row r="52" spans="2:64" s="108" customFormat="1" ht="6" customHeight="1" thickBot="1">
      <c r="B52" s="91"/>
      <c r="C52" s="91"/>
      <c r="D52" s="91"/>
      <c r="E52" s="147"/>
      <c r="F52" s="147"/>
      <c r="G52" s="147"/>
      <c r="H52" s="154"/>
      <c r="I52" s="106"/>
      <c r="P52" s="195"/>
      <c r="X52" s="195"/>
      <c r="AF52" s="195"/>
      <c r="AN52" s="195"/>
      <c r="AV52" s="195"/>
      <c r="BD52" s="195"/>
      <c r="BL52" s="195"/>
    </row>
    <row r="53" spans="2:64" ht="15" customHeight="1">
      <c r="B53" s="981" t="s">
        <v>566</v>
      </c>
      <c r="C53" s="982"/>
      <c r="D53" s="982"/>
      <c r="E53" s="983"/>
      <c r="F53" s="987">
        <f>+E49+G49</f>
        <v>890930</v>
      </c>
      <c r="G53" s="988"/>
      <c r="H53" s="767">
        <f>+F53/$E$9</f>
        <v>74.244166666666672</v>
      </c>
      <c r="I53" s="119"/>
      <c r="J53" s="1007" t="s">
        <v>561</v>
      </c>
      <c r="K53" s="1008"/>
      <c r="L53" s="1008"/>
      <c r="M53" s="1008"/>
      <c r="N53" s="1003">
        <f>+O49+M49</f>
        <v>853920</v>
      </c>
      <c r="O53" s="1004"/>
      <c r="P53" s="869">
        <f>+N53/$M$9</f>
        <v>71.16</v>
      </c>
      <c r="Q53" s="119"/>
      <c r="R53" s="953" t="s">
        <v>561</v>
      </c>
      <c r="S53" s="954"/>
      <c r="T53" s="954"/>
      <c r="U53" s="955"/>
      <c r="V53" s="959">
        <f>+W49+U49</f>
        <v>543030</v>
      </c>
      <c r="W53" s="960"/>
      <c r="X53" s="771">
        <f>+V53/$U$9</f>
        <v>90.504999999999995</v>
      </c>
      <c r="Y53" s="119"/>
      <c r="Z53" s="855" t="s">
        <v>561</v>
      </c>
      <c r="AA53" s="856"/>
      <c r="AB53" s="856"/>
      <c r="AC53" s="857"/>
      <c r="AD53" s="787">
        <f>+AE49+AC49</f>
        <v>466170</v>
      </c>
      <c r="AE53" s="967"/>
      <c r="AF53" s="773">
        <f>+AD53/$AC$9</f>
        <v>116.5425</v>
      </c>
      <c r="AG53" s="119"/>
      <c r="AH53" s="791" t="s">
        <v>561</v>
      </c>
      <c r="AI53" s="792"/>
      <c r="AJ53" s="792"/>
      <c r="AK53" s="793"/>
      <c r="AL53" s="797">
        <f>+AK49+AM49</f>
        <v>659280</v>
      </c>
      <c r="AM53" s="927"/>
      <c r="AN53" s="775">
        <f>+AL53/$AK$9</f>
        <v>164.82</v>
      </c>
      <c r="AO53" s="224"/>
      <c r="AP53" s="801" t="s">
        <v>561</v>
      </c>
      <c r="AQ53" s="802"/>
      <c r="AR53" s="802"/>
      <c r="AS53" s="803"/>
      <c r="AT53" s="939">
        <f>+AU49+AS49</f>
        <v>419580</v>
      </c>
      <c r="AU53" s="940"/>
      <c r="AV53" s="921">
        <f>+AT53/$AS$9</f>
        <v>104.895</v>
      </c>
      <c r="AW53" s="119"/>
      <c r="AX53" s="1013" t="s">
        <v>561</v>
      </c>
      <c r="AY53" s="1014"/>
      <c r="AZ53" s="1014"/>
      <c r="BA53" s="1015"/>
      <c r="BB53" s="1029">
        <f>+BA49+BC49</f>
        <v>291670</v>
      </c>
      <c r="BC53" s="1055"/>
      <c r="BD53" s="891">
        <f>+BB53/$BA$9</f>
        <v>145.83500000000001</v>
      </c>
      <c r="BE53" s="119"/>
      <c r="BF53" s="1043" t="s">
        <v>561</v>
      </c>
      <c r="BG53" s="1044"/>
      <c r="BH53" s="1044"/>
      <c r="BI53" s="1045"/>
      <c r="BJ53" s="1037">
        <f>+BI49+BK49</f>
        <v>398440</v>
      </c>
      <c r="BK53" s="1038"/>
      <c r="BL53" s="765">
        <f>+BJ53/$BI$9</f>
        <v>199.22</v>
      </c>
    </row>
    <row r="54" spans="2:64" ht="15" customHeight="1" thickBot="1">
      <c r="B54" s="984"/>
      <c r="C54" s="985"/>
      <c r="D54" s="985"/>
      <c r="E54" s="986"/>
      <c r="F54" s="989"/>
      <c r="G54" s="990"/>
      <c r="H54" s="768"/>
      <c r="I54" s="119"/>
      <c r="J54" s="1009"/>
      <c r="K54" s="1010"/>
      <c r="L54" s="1010"/>
      <c r="M54" s="1010"/>
      <c r="N54" s="1005"/>
      <c r="O54" s="1006"/>
      <c r="P54" s="870"/>
      <c r="Q54" s="119"/>
      <c r="R54" s="956"/>
      <c r="S54" s="957"/>
      <c r="T54" s="957"/>
      <c r="U54" s="958"/>
      <c r="V54" s="961"/>
      <c r="W54" s="962"/>
      <c r="X54" s="772"/>
      <c r="Y54" s="119"/>
      <c r="Z54" s="858"/>
      <c r="AA54" s="859"/>
      <c r="AB54" s="859"/>
      <c r="AC54" s="860"/>
      <c r="AD54" s="789"/>
      <c r="AE54" s="968"/>
      <c r="AF54" s="774"/>
      <c r="AG54" s="119"/>
      <c r="AH54" s="794"/>
      <c r="AI54" s="795"/>
      <c r="AJ54" s="795"/>
      <c r="AK54" s="796"/>
      <c r="AL54" s="799"/>
      <c r="AM54" s="928"/>
      <c r="AN54" s="776"/>
      <c r="AO54" s="224"/>
      <c r="AP54" s="804"/>
      <c r="AQ54" s="805"/>
      <c r="AR54" s="805"/>
      <c r="AS54" s="806"/>
      <c r="AT54" s="941"/>
      <c r="AU54" s="942"/>
      <c r="AV54" s="922"/>
      <c r="AW54" s="119"/>
      <c r="AX54" s="1016"/>
      <c r="AY54" s="1017"/>
      <c r="AZ54" s="1017"/>
      <c r="BA54" s="1018"/>
      <c r="BB54" s="1031"/>
      <c r="BC54" s="1056"/>
      <c r="BD54" s="892"/>
      <c r="BE54" s="119"/>
      <c r="BF54" s="1046"/>
      <c r="BG54" s="1047"/>
      <c r="BH54" s="1047"/>
      <c r="BI54" s="1048"/>
      <c r="BJ54" s="1039"/>
      <c r="BK54" s="1040"/>
      <c r="BL54" s="766"/>
    </row>
    <row r="55" spans="2:64" s="108" customFormat="1" ht="6.75" customHeight="1" thickBot="1">
      <c r="B55" s="91"/>
      <c r="C55" s="91"/>
      <c r="D55" s="91"/>
      <c r="E55" s="147"/>
      <c r="F55" s="147"/>
      <c r="G55" s="147"/>
      <c r="H55" s="734"/>
      <c r="I55" s="106"/>
      <c r="P55" s="735"/>
      <c r="U55" s="130"/>
      <c r="V55" s="130"/>
      <c r="W55" s="130"/>
      <c r="X55" s="735"/>
      <c r="AC55" s="130"/>
      <c r="AD55" s="130"/>
      <c r="AE55" s="130"/>
      <c r="AF55" s="735"/>
      <c r="AH55" s="221"/>
      <c r="AI55" s="221"/>
      <c r="AJ55" s="221"/>
      <c r="AK55" s="222"/>
      <c r="AL55" s="222"/>
      <c r="AM55" s="222"/>
      <c r="AN55" s="735"/>
      <c r="AO55" s="221"/>
      <c r="AP55" s="221"/>
      <c r="AQ55" s="221"/>
      <c r="AR55" s="221"/>
      <c r="AS55" s="221"/>
      <c r="AT55" s="221"/>
      <c r="AU55" s="221"/>
      <c r="AV55" s="735"/>
      <c r="AX55" s="221"/>
      <c r="AY55" s="221"/>
      <c r="AZ55" s="221"/>
      <c r="BA55" s="221"/>
      <c r="BB55" s="221"/>
      <c r="BC55" s="221"/>
      <c r="BD55" s="735"/>
      <c r="BF55" s="221"/>
      <c r="BG55" s="221"/>
      <c r="BH55" s="221"/>
      <c r="BI55" s="221"/>
      <c r="BJ55" s="221"/>
      <c r="BK55" s="221"/>
      <c r="BL55" s="735"/>
    </row>
    <row r="56" spans="2:64" s="108" customFormat="1" ht="15" customHeight="1">
      <c r="B56" s="971" t="s">
        <v>572</v>
      </c>
      <c r="C56" s="972"/>
      <c r="D56" s="972"/>
      <c r="E56" s="973"/>
      <c r="F56" s="977">
        <f>+F53*1.5</f>
        <v>1336395</v>
      </c>
      <c r="G56" s="978"/>
      <c r="H56" s="767">
        <f>+F56/$E$9</f>
        <v>111.36624999999999</v>
      </c>
      <c r="I56" s="106"/>
      <c r="J56" s="995" t="s">
        <v>572</v>
      </c>
      <c r="K56" s="996"/>
      <c r="L56" s="996"/>
      <c r="M56" s="997"/>
      <c r="N56" s="991">
        <f>+N53*1.5</f>
        <v>1280880</v>
      </c>
      <c r="O56" s="992"/>
      <c r="P56" s="769">
        <f>+N56/$M$9</f>
        <v>106.74</v>
      </c>
      <c r="R56" s="777" t="s">
        <v>572</v>
      </c>
      <c r="S56" s="778"/>
      <c r="T56" s="778"/>
      <c r="U56" s="779"/>
      <c r="V56" s="783">
        <f>+V53*1.5</f>
        <v>814545</v>
      </c>
      <c r="W56" s="784"/>
      <c r="X56" s="771">
        <f>+V56/$U$9</f>
        <v>135.75749999999999</v>
      </c>
      <c r="Z56" s="855" t="s">
        <v>572</v>
      </c>
      <c r="AA56" s="856"/>
      <c r="AB56" s="856"/>
      <c r="AC56" s="857"/>
      <c r="AD56" s="787">
        <f>+AD53*1.5</f>
        <v>699255</v>
      </c>
      <c r="AE56" s="788"/>
      <c r="AF56" s="773">
        <f>+AD56/$AC$9</f>
        <v>174.81375</v>
      </c>
      <c r="AH56" s="791" t="s">
        <v>572</v>
      </c>
      <c r="AI56" s="792"/>
      <c r="AJ56" s="792"/>
      <c r="AK56" s="793"/>
      <c r="AL56" s="797">
        <f>+AL53*1.5</f>
        <v>988920</v>
      </c>
      <c r="AM56" s="798"/>
      <c r="AN56" s="775">
        <f>+AL56/$AK$9</f>
        <v>247.23</v>
      </c>
      <c r="AO56" s="221"/>
      <c r="AP56" s="801" t="s">
        <v>572</v>
      </c>
      <c r="AQ56" s="802"/>
      <c r="AR56" s="802"/>
      <c r="AS56" s="803"/>
      <c r="AT56" s="939">
        <f>+AT53*1.5</f>
        <v>629370</v>
      </c>
      <c r="AU56" s="1011"/>
      <c r="AV56" s="921">
        <f>+AT56/$AS$9</f>
        <v>157.3425</v>
      </c>
      <c r="AX56" s="1013" t="s">
        <v>572</v>
      </c>
      <c r="AY56" s="1014"/>
      <c r="AZ56" s="1014"/>
      <c r="BA56" s="1015"/>
      <c r="BB56" s="1029">
        <f>+BB53*1.5</f>
        <v>437505</v>
      </c>
      <c r="BC56" s="1030"/>
      <c r="BD56" s="891">
        <f>+BB56/$BA$9</f>
        <v>218.7525</v>
      </c>
      <c r="BF56" s="1049" t="s">
        <v>572</v>
      </c>
      <c r="BG56" s="1050"/>
      <c r="BH56" s="1050"/>
      <c r="BI56" s="1051"/>
      <c r="BJ56" s="1037">
        <f>+BJ53*1.5</f>
        <v>597660</v>
      </c>
      <c r="BK56" s="1041"/>
      <c r="BL56" s="765">
        <f>+BJ56/$BI$9</f>
        <v>298.83</v>
      </c>
    </row>
    <row r="57" spans="2:64" s="108" customFormat="1" ht="15" customHeight="1" thickBot="1">
      <c r="B57" s="974"/>
      <c r="C57" s="975"/>
      <c r="D57" s="975"/>
      <c r="E57" s="976"/>
      <c r="F57" s="979"/>
      <c r="G57" s="980"/>
      <c r="H57" s="768"/>
      <c r="I57" s="106"/>
      <c r="J57" s="998"/>
      <c r="K57" s="999"/>
      <c r="L57" s="999"/>
      <c r="M57" s="1000"/>
      <c r="N57" s="993"/>
      <c r="O57" s="994"/>
      <c r="P57" s="770"/>
      <c r="R57" s="780"/>
      <c r="S57" s="781"/>
      <c r="T57" s="781"/>
      <c r="U57" s="782"/>
      <c r="V57" s="785"/>
      <c r="W57" s="786"/>
      <c r="X57" s="772"/>
      <c r="Z57" s="858"/>
      <c r="AA57" s="859"/>
      <c r="AB57" s="859"/>
      <c r="AC57" s="860"/>
      <c r="AD57" s="789"/>
      <c r="AE57" s="790"/>
      <c r="AF57" s="774"/>
      <c r="AH57" s="794"/>
      <c r="AI57" s="795"/>
      <c r="AJ57" s="795"/>
      <c r="AK57" s="796"/>
      <c r="AL57" s="799"/>
      <c r="AM57" s="800"/>
      <c r="AN57" s="776"/>
      <c r="AO57" s="221"/>
      <c r="AP57" s="804"/>
      <c r="AQ57" s="805"/>
      <c r="AR57" s="805"/>
      <c r="AS57" s="806"/>
      <c r="AT57" s="941"/>
      <c r="AU57" s="1012"/>
      <c r="AV57" s="922"/>
      <c r="AX57" s="1016"/>
      <c r="AY57" s="1017"/>
      <c r="AZ57" s="1017"/>
      <c r="BA57" s="1018"/>
      <c r="BB57" s="1031"/>
      <c r="BC57" s="1032"/>
      <c r="BD57" s="892"/>
      <c r="BF57" s="1052"/>
      <c r="BG57" s="1053"/>
      <c r="BH57" s="1053"/>
      <c r="BI57" s="1054"/>
      <c r="BJ57" s="1039"/>
      <c r="BK57" s="1042"/>
      <c r="BL57" s="766"/>
    </row>
    <row r="58" spans="2:64" s="108" customFormat="1" ht="6.75" customHeight="1" thickBot="1">
      <c r="B58" s="91"/>
      <c r="C58" s="91"/>
      <c r="D58" s="91"/>
      <c r="E58" s="147"/>
      <c r="F58" s="147"/>
      <c r="G58" s="147"/>
      <c r="H58" s="734"/>
      <c r="I58" s="106"/>
      <c r="P58" s="735"/>
      <c r="X58" s="735"/>
      <c r="AF58" s="735"/>
      <c r="AH58" s="221"/>
      <c r="AI58" s="221"/>
      <c r="AJ58" s="221"/>
      <c r="AK58" s="221"/>
      <c r="AL58" s="221"/>
      <c r="AM58" s="221"/>
      <c r="AN58" s="735"/>
      <c r="AO58" s="221"/>
      <c r="AP58" s="221"/>
      <c r="AQ58" s="221"/>
      <c r="AR58" s="221"/>
      <c r="AS58" s="221"/>
      <c r="AT58" s="221"/>
      <c r="AU58" s="221"/>
      <c r="AV58" s="735"/>
      <c r="AX58" s="221"/>
      <c r="AY58" s="221"/>
      <c r="AZ58" s="221"/>
      <c r="BA58" s="221"/>
      <c r="BB58" s="221"/>
      <c r="BC58" s="221"/>
      <c r="BD58" s="735"/>
      <c r="BF58" s="221"/>
      <c r="BG58" s="221"/>
      <c r="BH58" s="221"/>
      <c r="BI58" s="221"/>
      <c r="BJ58" s="221"/>
      <c r="BK58" s="221"/>
      <c r="BL58" s="735"/>
    </row>
    <row r="59" spans="2:64" s="108" customFormat="1" ht="15" customHeight="1">
      <c r="B59" s="971" t="s">
        <v>573</v>
      </c>
      <c r="C59" s="972"/>
      <c r="D59" s="972"/>
      <c r="E59" s="973"/>
      <c r="F59" s="977">
        <f>+F53*0.8</f>
        <v>712744</v>
      </c>
      <c r="G59" s="978"/>
      <c r="H59" s="767">
        <f>+F59/$E$9</f>
        <v>59.395333333333333</v>
      </c>
      <c r="I59" s="106"/>
      <c r="J59" s="995" t="s">
        <v>573</v>
      </c>
      <c r="K59" s="996"/>
      <c r="L59" s="996"/>
      <c r="M59" s="997"/>
      <c r="N59" s="991">
        <f>+N53*0.8</f>
        <v>683136</v>
      </c>
      <c r="O59" s="992"/>
      <c r="P59" s="769">
        <f>+N59/$M$9</f>
        <v>56.927999999999997</v>
      </c>
      <c r="R59" s="777" t="s">
        <v>573</v>
      </c>
      <c r="S59" s="778"/>
      <c r="T59" s="778"/>
      <c r="U59" s="779"/>
      <c r="V59" s="783">
        <f>+V53*0.8</f>
        <v>434424</v>
      </c>
      <c r="W59" s="784"/>
      <c r="X59" s="771">
        <f>+V59/$U$9</f>
        <v>72.403999999999996</v>
      </c>
      <c r="Z59" s="855" t="s">
        <v>573</v>
      </c>
      <c r="AA59" s="856"/>
      <c r="AB59" s="856"/>
      <c r="AC59" s="857"/>
      <c r="AD59" s="787">
        <f>+AD53*0.8</f>
        <v>372936</v>
      </c>
      <c r="AE59" s="788"/>
      <c r="AF59" s="773">
        <f>+AD59/$AC$9</f>
        <v>93.233999999999995</v>
      </c>
      <c r="AH59" s="791" t="s">
        <v>573</v>
      </c>
      <c r="AI59" s="792"/>
      <c r="AJ59" s="792"/>
      <c r="AK59" s="793"/>
      <c r="AL59" s="797">
        <f>+AL53*0.8</f>
        <v>527424</v>
      </c>
      <c r="AM59" s="798"/>
      <c r="AN59" s="775">
        <f>+AL59/$AK$9</f>
        <v>131.85599999999999</v>
      </c>
      <c r="AO59" s="221"/>
      <c r="AP59" s="801" t="s">
        <v>573</v>
      </c>
      <c r="AQ59" s="802"/>
      <c r="AR59" s="802"/>
      <c r="AS59" s="803"/>
      <c r="AT59" s="939">
        <f>+AT53*0.8</f>
        <v>335664</v>
      </c>
      <c r="AU59" s="1011"/>
      <c r="AV59" s="921">
        <f>+AT59/$AS$9</f>
        <v>83.915999999999997</v>
      </c>
      <c r="AX59" s="1013" t="s">
        <v>573</v>
      </c>
      <c r="AY59" s="1014"/>
      <c r="AZ59" s="1014"/>
      <c r="BA59" s="1015"/>
      <c r="BB59" s="1029">
        <f>+BB53*0.8</f>
        <v>233336</v>
      </c>
      <c r="BC59" s="1030"/>
      <c r="BD59" s="891">
        <f>+BB59/$BA$9</f>
        <v>116.66800000000001</v>
      </c>
      <c r="BF59" s="1049" t="s">
        <v>573</v>
      </c>
      <c r="BG59" s="1050"/>
      <c r="BH59" s="1050"/>
      <c r="BI59" s="1051"/>
      <c r="BJ59" s="1037">
        <f>+BJ53*0.8</f>
        <v>318752</v>
      </c>
      <c r="BK59" s="1041"/>
      <c r="BL59" s="765">
        <f>+BJ59/$BI$9</f>
        <v>159.376</v>
      </c>
    </row>
    <row r="60" spans="2:64" s="108" customFormat="1" ht="15" customHeight="1" thickBot="1">
      <c r="B60" s="974"/>
      <c r="C60" s="975"/>
      <c r="D60" s="975"/>
      <c r="E60" s="976"/>
      <c r="F60" s="979"/>
      <c r="G60" s="980"/>
      <c r="H60" s="768"/>
      <c r="I60" s="106"/>
      <c r="J60" s="998"/>
      <c r="K60" s="999"/>
      <c r="L60" s="999"/>
      <c r="M60" s="1000"/>
      <c r="N60" s="993"/>
      <c r="O60" s="994"/>
      <c r="P60" s="770"/>
      <c r="R60" s="780"/>
      <c r="S60" s="781"/>
      <c r="T60" s="781"/>
      <c r="U60" s="782"/>
      <c r="V60" s="785"/>
      <c r="W60" s="786"/>
      <c r="X60" s="772"/>
      <c r="Z60" s="858"/>
      <c r="AA60" s="859"/>
      <c r="AB60" s="859"/>
      <c r="AC60" s="860"/>
      <c r="AD60" s="789"/>
      <c r="AE60" s="790"/>
      <c r="AF60" s="774"/>
      <c r="AH60" s="794"/>
      <c r="AI60" s="795"/>
      <c r="AJ60" s="795"/>
      <c r="AK60" s="796"/>
      <c r="AL60" s="799"/>
      <c r="AM60" s="800"/>
      <c r="AN60" s="776"/>
      <c r="AO60" s="221"/>
      <c r="AP60" s="804"/>
      <c r="AQ60" s="805"/>
      <c r="AR60" s="805"/>
      <c r="AS60" s="806"/>
      <c r="AT60" s="941"/>
      <c r="AU60" s="1012"/>
      <c r="AV60" s="922"/>
      <c r="AX60" s="1016"/>
      <c r="AY60" s="1017"/>
      <c r="AZ60" s="1017"/>
      <c r="BA60" s="1018"/>
      <c r="BB60" s="1031"/>
      <c r="BC60" s="1032"/>
      <c r="BD60" s="892"/>
      <c r="BF60" s="1052"/>
      <c r="BG60" s="1053"/>
      <c r="BH60" s="1053"/>
      <c r="BI60" s="1054"/>
      <c r="BJ60" s="1039"/>
      <c r="BK60" s="1042"/>
      <c r="BL60" s="766"/>
    </row>
    <row r="61" spans="2:64">
      <c r="P61" s="736"/>
    </row>
    <row r="62" spans="2:64">
      <c r="P62" s="736"/>
    </row>
    <row r="63" spans="2:64">
      <c r="P63" s="736"/>
    </row>
    <row r="71" spans="6:9">
      <c r="H71" s="194"/>
      <c r="I71" s="108"/>
    </row>
    <row r="79" spans="6:9">
      <c r="F79" s="109"/>
      <c r="G79" s="109"/>
      <c r="H79" s="194"/>
      <c r="I79" s="108"/>
    </row>
  </sheetData>
  <mergeCells count="403">
    <mergeCell ref="BB56:BC57"/>
    <mergeCell ref="BB59:BC60"/>
    <mergeCell ref="BB49:BB50"/>
    <mergeCell ref="BC49:BC50"/>
    <mergeCell ref="BJ49:BJ50"/>
    <mergeCell ref="BK49:BK50"/>
    <mergeCell ref="BJ53:BK54"/>
    <mergeCell ref="BJ56:BK57"/>
    <mergeCell ref="BJ59:BK60"/>
    <mergeCell ref="BF53:BI54"/>
    <mergeCell ref="BF56:BI57"/>
    <mergeCell ref="BF59:BI60"/>
    <mergeCell ref="BB53:BC54"/>
    <mergeCell ref="BD56:BD57"/>
    <mergeCell ref="BD59:BD60"/>
    <mergeCell ref="AT56:AU57"/>
    <mergeCell ref="AT59:AU60"/>
    <mergeCell ref="AX59:BA60"/>
    <mergeCell ref="AX56:BA57"/>
    <mergeCell ref="AX53:BA54"/>
    <mergeCell ref="AP49:AR50"/>
    <mergeCell ref="AS49:AS50"/>
    <mergeCell ref="AX49:AZ50"/>
    <mergeCell ref="BA49:BA50"/>
    <mergeCell ref="AV56:AV57"/>
    <mergeCell ref="AV59:AV60"/>
    <mergeCell ref="F49:F50"/>
    <mergeCell ref="G49:G50"/>
    <mergeCell ref="B56:E57"/>
    <mergeCell ref="B59:E60"/>
    <mergeCell ref="F56:G57"/>
    <mergeCell ref="F59:G60"/>
    <mergeCell ref="B53:E54"/>
    <mergeCell ref="F53:G54"/>
    <mergeCell ref="N56:O57"/>
    <mergeCell ref="N59:O60"/>
    <mergeCell ref="J56:M57"/>
    <mergeCell ref="J59:M60"/>
    <mergeCell ref="H53:H54"/>
    <mergeCell ref="N49:N50"/>
    <mergeCell ref="O49:O50"/>
    <mergeCell ref="N53:O54"/>
    <mergeCell ref="J53:M54"/>
    <mergeCell ref="X8:X9"/>
    <mergeCell ref="AF8:AF9"/>
    <mergeCell ref="X49:X50"/>
    <mergeCell ref="X53:X54"/>
    <mergeCell ref="AF49:AF50"/>
    <mergeCell ref="AF53:AF54"/>
    <mergeCell ref="V49:V50"/>
    <mergeCell ref="W49:W50"/>
    <mergeCell ref="R53:U54"/>
    <mergeCell ref="V53:W54"/>
    <mergeCell ref="AD49:AD50"/>
    <mergeCell ref="AE49:AE50"/>
    <mergeCell ref="Z53:AC54"/>
    <mergeCell ref="AD53:AE54"/>
    <mergeCell ref="AA32:AC32"/>
    <mergeCell ref="Z33:AA33"/>
    <mergeCell ref="AA35:AC35"/>
    <mergeCell ref="Z22:AA22"/>
    <mergeCell ref="AA23:AC23"/>
    <mergeCell ref="Z24:AA24"/>
    <mergeCell ref="AA25:AC25"/>
    <mergeCell ref="Z26:AA26"/>
    <mergeCell ref="AA28:AC28"/>
    <mergeCell ref="Z16:AA16"/>
    <mergeCell ref="AX8:AZ9"/>
    <mergeCell ref="AH8:AJ9"/>
    <mergeCell ref="AP8:AR9"/>
    <mergeCell ref="AN8:AN9"/>
    <mergeCell ref="AV8:AV9"/>
    <mergeCell ref="AN49:AN50"/>
    <mergeCell ref="AN53:AN54"/>
    <mergeCell ref="AV49:AV50"/>
    <mergeCell ref="AV53:AV54"/>
    <mergeCell ref="AL49:AL50"/>
    <mergeCell ref="AM49:AM50"/>
    <mergeCell ref="AH53:AK54"/>
    <mergeCell ref="AL53:AM54"/>
    <mergeCell ref="AH49:AJ50"/>
    <mergeCell ref="AK49:AK50"/>
    <mergeCell ref="AT49:AT50"/>
    <mergeCell ref="AU49:AU50"/>
    <mergeCell ref="AP53:AS54"/>
    <mergeCell ref="AT53:AU54"/>
    <mergeCell ref="AI35:AK35"/>
    <mergeCell ref="AI46:AK46"/>
    <mergeCell ref="AH47:AI47"/>
    <mergeCell ref="AP12:AQ12"/>
    <mergeCell ref="AQ13:AS13"/>
    <mergeCell ref="BF8:BH9"/>
    <mergeCell ref="BD8:BD9"/>
    <mergeCell ref="BL8:BL9"/>
    <mergeCell ref="BD49:BD50"/>
    <mergeCell ref="BD53:BD54"/>
    <mergeCell ref="BL49:BL50"/>
    <mergeCell ref="BL53:BL54"/>
    <mergeCell ref="BF12:BG12"/>
    <mergeCell ref="BG13:BI13"/>
    <mergeCell ref="BF14:BG14"/>
    <mergeCell ref="BG15:BI15"/>
    <mergeCell ref="BF16:BG16"/>
    <mergeCell ref="BG17:BI17"/>
    <mergeCell ref="BF18:BG18"/>
    <mergeCell ref="BG19:BI19"/>
    <mergeCell ref="BF20:BG20"/>
    <mergeCell ref="BG21:BI21"/>
    <mergeCell ref="BF22:BG22"/>
    <mergeCell ref="BI49:BI50"/>
    <mergeCell ref="BF49:BH50"/>
    <mergeCell ref="BG23:BI23"/>
    <mergeCell ref="BF24:BG24"/>
    <mergeCell ref="BG25:BI25"/>
    <mergeCell ref="BF26:BG26"/>
    <mergeCell ref="Z56:AC57"/>
    <mergeCell ref="Z59:AC60"/>
    <mergeCell ref="J8:L9"/>
    <mergeCell ref="P8:P9"/>
    <mergeCell ref="P49:P50"/>
    <mergeCell ref="P53:P54"/>
    <mergeCell ref="R8:T9"/>
    <mergeCell ref="Z49:AB50"/>
    <mergeCell ref="AC49:AC50"/>
    <mergeCell ref="AA39:AC39"/>
    <mergeCell ref="Z42:AA42"/>
    <mergeCell ref="AA43:AC43"/>
    <mergeCell ref="Z44:AA44"/>
    <mergeCell ref="Z45:AC45"/>
    <mergeCell ref="AA46:AC46"/>
    <mergeCell ref="Z47:AA47"/>
    <mergeCell ref="Z36:AA36"/>
    <mergeCell ref="AA37:AC37"/>
    <mergeCell ref="Z38:AA38"/>
    <mergeCell ref="Z40:AA40"/>
    <mergeCell ref="AA41:AC41"/>
    <mergeCell ref="Z29:AA29"/>
    <mergeCell ref="AA30:AC30"/>
    <mergeCell ref="Z31:AA31"/>
    <mergeCell ref="B3:U3"/>
    <mergeCell ref="B4:U4"/>
    <mergeCell ref="B5:U5"/>
    <mergeCell ref="B49:D50"/>
    <mergeCell ref="E49:E50"/>
    <mergeCell ref="J49:L50"/>
    <mergeCell ref="M49:M50"/>
    <mergeCell ref="R49:T50"/>
    <mergeCell ref="U49:U50"/>
    <mergeCell ref="B6:U6"/>
    <mergeCell ref="H8:H9"/>
    <mergeCell ref="B8:D9"/>
    <mergeCell ref="H49:H50"/>
    <mergeCell ref="S28:U28"/>
    <mergeCell ref="R16:S16"/>
    <mergeCell ref="S17:U17"/>
    <mergeCell ref="R18:S18"/>
    <mergeCell ref="S19:U19"/>
    <mergeCell ref="R20:S20"/>
    <mergeCell ref="S21:U21"/>
    <mergeCell ref="R12:S12"/>
    <mergeCell ref="S13:U13"/>
    <mergeCell ref="R14:S14"/>
    <mergeCell ref="S15:U15"/>
    <mergeCell ref="AA17:AC17"/>
    <mergeCell ref="Z18:AA18"/>
    <mergeCell ref="AA19:AC19"/>
    <mergeCell ref="Z20:AA20"/>
    <mergeCell ref="AA21:AC21"/>
    <mergeCell ref="Z12:AA12"/>
    <mergeCell ref="AA13:AC13"/>
    <mergeCell ref="Z14:AA14"/>
    <mergeCell ref="AA15:AC15"/>
    <mergeCell ref="Z8:AB9"/>
    <mergeCell ref="R42:S42"/>
    <mergeCell ref="S43:U43"/>
    <mergeCell ref="R44:S44"/>
    <mergeCell ref="R45:U45"/>
    <mergeCell ref="S46:U46"/>
    <mergeCell ref="R47:S47"/>
    <mergeCell ref="R36:S36"/>
    <mergeCell ref="S37:U37"/>
    <mergeCell ref="R38:S38"/>
    <mergeCell ref="S39:U39"/>
    <mergeCell ref="R40:S40"/>
    <mergeCell ref="S41:U41"/>
    <mergeCell ref="R29:S29"/>
    <mergeCell ref="S30:U30"/>
    <mergeCell ref="R31:S31"/>
    <mergeCell ref="S32:U32"/>
    <mergeCell ref="R33:S33"/>
    <mergeCell ref="S35:U35"/>
    <mergeCell ref="R22:S22"/>
    <mergeCell ref="S23:U23"/>
    <mergeCell ref="R24:S24"/>
    <mergeCell ref="S25:U25"/>
    <mergeCell ref="R26:S26"/>
    <mergeCell ref="B40:C40"/>
    <mergeCell ref="K39:M39"/>
    <mergeCell ref="J40:K40"/>
    <mergeCell ref="C39:E39"/>
    <mergeCell ref="J45:M45"/>
    <mergeCell ref="K46:M46"/>
    <mergeCell ref="J47:K47"/>
    <mergeCell ref="C37:E37"/>
    <mergeCell ref="B38:C38"/>
    <mergeCell ref="B47:C47"/>
    <mergeCell ref="B44:C44"/>
    <mergeCell ref="B45:E45"/>
    <mergeCell ref="C46:E46"/>
    <mergeCell ref="K41:M41"/>
    <mergeCell ref="J42:K42"/>
    <mergeCell ref="K43:M43"/>
    <mergeCell ref="J44:K44"/>
    <mergeCell ref="C41:E41"/>
    <mergeCell ref="B42:C42"/>
    <mergeCell ref="C43:E43"/>
    <mergeCell ref="K37:M37"/>
    <mergeCell ref="J38:K38"/>
    <mergeCell ref="C35:E35"/>
    <mergeCell ref="B36:C36"/>
    <mergeCell ref="B31:C31"/>
    <mergeCell ref="C32:E32"/>
    <mergeCell ref="K32:M32"/>
    <mergeCell ref="J33:K33"/>
    <mergeCell ref="K35:M35"/>
    <mergeCell ref="J36:K36"/>
    <mergeCell ref="J12:K12"/>
    <mergeCell ref="K13:M13"/>
    <mergeCell ref="J14:K14"/>
    <mergeCell ref="K15:M15"/>
    <mergeCell ref="J31:K31"/>
    <mergeCell ref="J16:K16"/>
    <mergeCell ref="K17:M17"/>
    <mergeCell ref="J18:K18"/>
    <mergeCell ref="J20:K20"/>
    <mergeCell ref="C30:E30"/>
    <mergeCell ref="B29:C29"/>
    <mergeCell ref="C25:E25"/>
    <mergeCell ref="B26:C26"/>
    <mergeCell ref="J22:K22"/>
    <mergeCell ref="K23:M23"/>
    <mergeCell ref="B24:C24"/>
    <mergeCell ref="C13:E13"/>
    <mergeCell ref="B14:C14"/>
    <mergeCell ref="K19:M19"/>
    <mergeCell ref="J24:K24"/>
    <mergeCell ref="B12:C12"/>
    <mergeCell ref="AH12:AI12"/>
    <mergeCell ref="AI13:AK13"/>
    <mergeCell ref="AH14:AI14"/>
    <mergeCell ref="AI15:AK15"/>
    <mergeCell ref="AH16:AI16"/>
    <mergeCell ref="AI17:AK17"/>
    <mergeCell ref="AH18:AI18"/>
    <mergeCell ref="AI19:AK19"/>
    <mergeCell ref="AH20:AI20"/>
    <mergeCell ref="AI21:AK21"/>
    <mergeCell ref="AH22:AI22"/>
    <mergeCell ref="AI23:AK23"/>
    <mergeCell ref="AH24:AI24"/>
    <mergeCell ref="C19:E19"/>
    <mergeCell ref="B20:C20"/>
    <mergeCell ref="C15:E15"/>
    <mergeCell ref="B16:C16"/>
    <mergeCell ref="C17:E17"/>
    <mergeCell ref="C21:E21"/>
    <mergeCell ref="B18:C18"/>
    <mergeCell ref="AI25:AK25"/>
    <mergeCell ref="AH26:AI26"/>
    <mergeCell ref="AI28:AK28"/>
    <mergeCell ref="AH29:AI29"/>
    <mergeCell ref="AI30:AK30"/>
    <mergeCell ref="AH31:AI31"/>
    <mergeCell ref="AI32:AK32"/>
    <mergeCell ref="AH33:AI33"/>
    <mergeCell ref="B33:C33"/>
    <mergeCell ref="B22:C22"/>
    <mergeCell ref="C23:E23"/>
    <mergeCell ref="K21:M21"/>
    <mergeCell ref="K25:M25"/>
    <mergeCell ref="J26:K26"/>
    <mergeCell ref="K28:M28"/>
    <mergeCell ref="J29:K29"/>
    <mergeCell ref="K30:M30"/>
    <mergeCell ref="AP14:AQ14"/>
    <mergeCell ref="AQ15:AS15"/>
    <mergeCell ref="AP16:AQ16"/>
    <mergeCell ref="AQ17:AS17"/>
    <mergeCell ref="AP18:AQ18"/>
    <mergeCell ref="AQ19:AS19"/>
    <mergeCell ref="AP20:AQ20"/>
    <mergeCell ref="AQ21:AS21"/>
    <mergeCell ref="AP22:AQ22"/>
    <mergeCell ref="AQ23:AS23"/>
    <mergeCell ref="AP24:AQ24"/>
    <mergeCell ref="AQ25:AS25"/>
    <mergeCell ref="AP26:AQ26"/>
    <mergeCell ref="AQ28:AS28"/>
    <mergeCell ref="AP29:AQ29"/>
    <mergeCell ref="AQ30:AS30"/>
    <mergeCell ref="AP31:AQ31"/>
    <mergeCell ref="AQ32:AS32"/>
    <mergeCell ref="AH36:AI36"/>
    <mergeCell ref="AI37:AK37"/>
    <mergeCell ref="AQ35:AS35"/>
    <mergeCell ref="AP36:AQ36"/>
    <mergeCell ref="AQ37:AS37"/>
    <mergeCell ref="AP38:AQ38"/>
    <mergeCell ref="AQ39:AS39"/>
    <mergeCell ref="AP40:AQ40"/>
    <mergeCell ref="AQ41:AS41"/>
    <mergeCell ref="AP42:AQ42"/>
    <mergeCell ref="AH45:AK45"/>
    <mergeCell ref="AH38:AI38"/>
    <mergeCell ref="AI39:AK39"/>
    <mergeCell ref="AH40:AI40"/>
    <mergeCell ref="AI41:AK41"/>
    <mergeCell ref="AH42:AI42"/>
    <mergeCell ref="AI43:AK43"/>
    <mergeCell ref="AH44:AI44"/>
    <mergeCell ref="AQ43:AS43"/>
    <mergeCell ref="AP44:AQ44"/>
    <mergeCell ref="AP45:AS45"/>
    <mergeCell ref="AQ46:AS46"/>
    <mergeCell ref="AP47:AQ47"/>
    <mergeCell ref="AX12:AY12"/>
    <mergeCell ref="AY13:BA13"/>
    <mergeCell ref="AX14:AY14"/>
    <mergeCell ref="AY15:BA15"/>
    <mergeCell ref="AX16:AY16"/>
    <mergeCell ref="AY17:BA17"/>
    <mergeCell ref="AX18:AY18"/>
    <mergeCell ref="AY19:BA19"/>
    <mergeCell ref="AX20:AY20"/>
    <mergeCell ref="AY21:BA21"/>
    <mergeCell ref="AX22:AY22"/>
    <mergeCell ref="AY23:BA23"/>
    <mergeCell ref="AX24:AY24"/>
    <mergeCell ref="AY25:BA25"/>
    <mergeCell ref="AX26:AY26"/>
    <mergeCell ref="AY28:BA28"/>
    <mergeCell ref="AX40:AY40"/>
    <mergeCell ref="AY41:BA41"/>
    <mergeCell ref="AP33:AQ33"/>
    <mergeCell ref="AX42:AY42"/>
    <mergeCell ref="AY43:BA43"/>
    <mergeCell ref="AX44:AY44"/>
    <mergeCell ref="AX45:BA45"/>
    <mergeCell ref="AY46:BA46"/>
    <mergeCell ref="AX47:AY47"/>
    <mergeCell ref="AX29:AY29"/>
    <mergeCell ref="AY30:BA30"/>
    <mergeCell ref="AX31:AY31"/>
    <mergeCell ref="AY32:BA32"/>
    <mergeCell ref="AX33:AY33"/>
    <mergeCell ref="AY35:BA35"/>
    <mergeCell ref="AX36:AY36"/>
    <mergeCell ref="AY37:BA37"/>
    <mergeCell ref="AX38:AY38"/>
    <mergeCell ref="AY39:BA39"/>
    <mergeCell ref="BG28:BI28"/>
    <mergeCell ref="BF29:BG29"/>
    <mergeCell ref="BG30:BI30"/>
    <mergeCell ref="BF31:BG31"/>
    <mergeCell ref="BG32:BI32"/>
    <mergeCell ref="BF33:BG33"/>
    <mergeCell ref="BG35:BI35"/>
    <mergeCell ref="BF36:BG36"/>
    <mergeCell ref="BG37:BI37"/>
    <mergeCell ref="BF47:BG47"/>
    <mergeCell ref="BF38:BG38"/>
    <mergeCell ref="BG39:BI39"/>
    <mergeCell ref="BF40:BG40"/>
    <mergeCell ref="BG41:BI41"/>
    <mergeCell ref="BF42:BG42"/>
    <mergeCell ref="BG43:BI43"/>
    <mergeCell ref="BF44:BG44"/>
    <mergeCell ref="BF45:BI45"/>
    <mergeCell ref="BG46:BI46"/>
    <mergeCell ref="BL56:BL57"/>
    <mergeCell ref="BL59:BL60"/>
    <mergeCell ref="H56:H57"/>
    <mergeCell ref="H59:H60"/>
    <mergeCell ref="P56:P57"/>
    <mergeCell ref="P59:P60"/>
    <mergeCell ref="X56:X57"/>
    <mergeCell ref="X59:X60"/>
    <mergeCell ref="AF56:AF57"/>
    <mergeCell ref="AF59:AF60"/>
    <mergeCell ref="AN56:AN57"/>
    <mergeCell ref="AN59:AN60"/>
    <mergeCell ref="R56:U57"/>
    <mergeCell ref="R59:U60"/>
    <mergeCell ref="V56:W57"/>
    <mergeCell ref="V59:W60"/>
    <mergeCell ref="AD56:AE57"/>
    <mergeCell ref="AD59:AE60"/>
    <mergeCell ref="AH56:AK57"/>
    <mergeCell ref="AH59:AK60"/>
    <mergeCell ref="AL56:AM57"/>
    <mergeCell ref="AL59:AM60"/>
    <mergeCell ref="AP59:AS60"/>
    <mergeCell ref="AP56:AS57"/>
  </mergeCells>
  <dataValidations xWindow="69" yWindow="379" count="1">
    <dataValidation type="list" allowBlank="1" showInputMessage="1" showErrorMessage="1" promptTitle="Tenant Use Type" prompt="Select tenant use type_x000a_" sqref="D1">
      <formula1>Ten</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xWindow="69" yWindow="379" count="4">
        <x14:dataValidation type="list" allowBlank="1" showInputMessage="1" showErrorMessage="1" promptTitle="Developer Cost Allocation" prompt="Select Cost Allocation _x000a_">
          <x14:formula1>
            <xm:f>Sheet2!$C$3:$C$4</xm:f>
          </x14:formula1>
          <xm:sqref>AZ24 AZ26 AZ16 AZ18 AZ20 AZ29 AZ31 AZ33 L12 L14 L16 L18 L20 L22 L24 L26 L29 L31 L33 L36 L38 L40 L42 L44 L47 T12 T14 T16 T18 T20 T22 T24 T26 T29 T31 T33 T36 T38 T40 T42 T44 T47 AB12 AB14 AB16 AB18 AB20 AB22 AB24 AB26 AB29 AB31 AB33 AB36 AB38 AB40 AB42 AB44 AB47 AJ12 AJ14 AJ16 AJ18 AJ20 AJ22 AJ24 AJ26 AJ29 AJ31 AJ33 AJ36 AJ38 AJ40 AJ42 AJ44 AJ47 AR12 AR14 AR16 AR18 AR20 AR22 AR24 AR26 AR29 AR31 AR33 AR36 AR38 AR40 AR42 AR44 AR47 AZ47 AZ12 AZ14 AZ36 AZ38 AZ40 AZ42 AZ44 AZ22 BH24 BH26 BH16 BH18 BH20 BH29 BH31 BH33 BH47 BH12 BH14 BH36 BH38 BH40 BH42 BH44 BH22</xm:sqref>
        </x14:dataValidation>
        <x14:dataValidation type="list" allowBlank="1" showInputMessage="1" showErrorMessage="1" promptTitle="Option" prompt="Select design option_x000a_">
          <x14:formula1>
            <xm:f>Sheet2!$A$3:$A$7</xm:f>
          </x14:formula1>
          <xm:sqref>B12:C12 AX12:AY12 J12:K12 AP12:AQ12 AH12:AI12 Z12:AA12 R12:S12 BF12:BG12</xm:sqref>
        </x14:dataValidation>
        <x14:dataValidation type="list" allowBlank="1" showInputMessage="1" showErrorMessage="1" promptTitle="Option" prompt="Select a design option_x000a_">
          <x14:formula1>
            <xm:f>Sheet2!$A$3:$A$7</xm:f>
          </x14:formula1>
          <xm:sqref>B14:C14 J14:K14 B47:C47 B44:C44 B42:C42 B40:C40 B38:C38 B36:C36 B33:C33 B31:C31 AX26:AY26 AX47:AY47 AX44:AY44 AX42:AY42 AX40:AY40 AX38:AY38 AX36:AY36 AX24:AY24 AX22:AY22 AX20:AY20 AX33:AY33 AX31:AY31 AX29:AY29 AX18:AY18 AX16:AY16 AX14:AY14 B29:C29 B26:C26 B24:C24 B22:C22 B20:C20 B18:C18 B16:C16 AP47:AQ47 AP44:AQ44 AP42:AQ42 AP40:AQ40 AP38:AQ38 AP36:AQ36 AP33:AQ33 AP31:AQ31 AP29:AQ29 AP26:AQ26 AP24:AQ24 AP22:AQ22 AP20:AQ20 AP18:AQ18 AP16:AQ16 AP14:AQ14 AH47:AI47 AH44:AI44 AH42:AI42 AH40:AI40 AH38:AI38 AH36:AI36 AH33:AI33 AH31:AI31 AH29:AI29 AH26:AI26 AH24:AI24 AH22:AI22 AH20:AI20 AH18:AI18 AH16:AI16 AH14:AI14 Z47:AA47 Z44:AA44 Z42:AA42 Z40:AA40 Z38:AA38 Z36:AA36 Z33:AA33 Z31:AA31 Z29:AA29 Z26:AA26 Z24:AA24 Z22:AA22 Z20:AA20 Z18:AA18 Z16:AA16 Z14:AA14 R47:S47 R44:S44 R42:S42 R40:S40 R38:S38 R36:S36 R33:S33 R31:S31 R29:S29 R26:S26 R24:S24 R22:S22 R20:S20 R18:S18 R16:S16 R14:S14 J47:K47 J44:K44 J42:K42 J40:K40 J38:K38 J36:K36 J33:K33 J31:K31 J29:K29 J26:K26 J24:K24 J22:K22 J20:K20 J18:K18 J16:K16 BF26:BG26 BF47:BG47 BF44:BG44 BF42:BG42 BF40:BG40 BF38:BG38 BF36:BG36 BF24:BG24 BF22:BG22 BF20:BG20 BF33:BG33 BF31:BG31 BF29:BG29 BF18:BG18 BF16:BG16 BF14:BG14</xm:sqref>
        </x14:dataValidation>
        <x14:dataValidation type="list" allowBlank="1" showInputMessage="1" showErrorMessage="1" promptTitle="Developer cost allocation" prompt="Select cost allocation_x000a_">
          <x14:formula1>
            <xm:f>Sheet2!$C$3:$C$4</xm:f>
          </x14:formula1>
          <xm:sqref>D47 D12 D14 D16 D18 D20 D22 D24 D26 D29 D31 D33 D36 D38 D40 D42 D44</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AP193"/>
  <sheetViews>
    <sheetView workbookViewId="0"/>
  </sheetViews>
  <sheetFormatPr baseColWidth="10" defaultColWidth="9.1640625" defaultRowHeight="13" outlineLevelRow="1" outlineLevelCol="1" x14ac:dyDescent="0"/>
  <cols>
    <col min="1" max="4" width="1.6640625" style="24" customWidth="1"/>
    <col min="5" max="5" width="4.5" style="75" bestFit="1" customWidth="1"/>
    <col min="6" max="6" width="2.33203125" style="75" customWidth="1"/>
    <col min="7" max="7" width="11.1640625" style="76" customWidth="1"/>
    <col min="8" max="8" width="46" style="25" customWidth="1"/>
    <col min="9" max="9" width="59.33203125" style="26" customWidth="1"/>
    <col min="10" max="10" width="22.5" style="27" hidden="1" customWidth="1" outlineLevel="1"/>
    <col min="11" max="11" width="21.83203125" style="27" hidden="1" customWidth="1" outlineLevel="1"/>
    <col min="12" max="12" width="22.83203125" style="27" hidden="1" customWidth="1" outlineLevel="1"/>
    <col min="13" max="13" width="59.33203125" style="26" customWidth="1" collapsed="1"/>
    <col min="14" max="14" width="22.5" style="27" hidden="1" customWidth="1" outlineLevel="1"/>
    <col min="15" max="15" width="21.83203125" style="27" hidden="1" customWidth="1" outlineLevel="1"/>
    <col min="16" max="16" width="22.83203125" style="27" hidden="1" customWidth="1" outlineLevel="1"/>
    <col min="17" max="17" width="59.33203125" style="26" customWidth="1" collapsed="1"/>
    <col min="18" max="18" width="22.5" style="27" hidden="1" customWidth="1" outlineLevel="1"/>
    <col min="19" max="19" width="21.83203125" style="27" hidden="1" customWidth="1" outlineLevel="1"/>
    <col min="20" max="20" width="22.83203125" style="27" hidden="1" customWidth="1" outlineLevel="1"/>
    <col min="21" max="21" width="59.33203125" style="26" customWidth="1" collapsed="1"/>
    <col min="22" max="22" width="22.5" style="27" hidden="1" customWidth="1" outlineLevel="1"/>
    <col min="23" max="23" width="21.83203125" style="27" hidden="1" customWidth="1" outlineLevel="1"/>
    <col min="24" max="24" width="22.83203125" style="27" hidden="1" customWidth="1" outlineLevel="1"/>
    <col min="25" max="25" width="59.33203125" style="26" customWidth="1" collapsed="1"/>
    <col min="26" max="26" width="22.5" style="27" hidden="1" customWidth="1" outlineLevel="1"/>
    <col min="27" max="27" width="21.83203125" style="27" hidden="1" customWidth="1" outlineLevel="1"/>
    <col min="28" max="28" width="22.83203125" style="27" hidden="1" customWidth="1" outlineLevel="1"/>
    <col min="29" max="29" width="59.33203125" style="26" customWidth="1" collapsed="1"/>
    <col min="30" max="30" width="22.5" style="27" hidden="1" customWidth="1" outlineLevel="1"/>
    <col min="31" max="31" width="21.83203125" style="27" hidden="1" customWidth="1" outlineLevel="1"/>
    <col min="32" max="32" width="22.83203125" style="27" hidden="1" customWidth="1" outlineLevel="1"/>
    <col min="33" max="33" width="59.33203125" style="26" customWidth="1" collapsed="1"/>
    <col min="34" max="34" width="22.5" style="27" hidden="1" customWidth="1" outlineLevel="1"/>
    <col min="35" max="35" width="21.83203125" style="27" hidden="1" customWidth="1" outlineLevel="1"/>
    <col min="36" max="36" width="22.83203125" style="27" hidden="1" customWidth="1" outlineLevel="1"/>
    <col min="37" max="37" width="59.5" style="26" customWidth="1" collapsed="1"/>
    <col min="38" max="38" width="22.5" style="27" hidden="1" customWidth="1" outlineLevel="1"/>
    <col min="39" max="39" width="21.83203125" style="27" hidden="1" customWidth="1" outlineLevel="1"/>
    <col min="40" max="40" width="22.83203125" style="27" hidden="1" customWidth="1" outlineLevel="1"/>
    <col min="41" max="41" width="47.5" style="29" customWidth="1" collapsed="1"/>
    <col min="42" max="42" width="30.83203125" style="29" bestFit="1" customWidth="1"/>
    <col min="43" max="16384" width="9.1640625" style="30"/>
  </cols>
  <sheetData>
    <row r="1" spans="1:42">
      <c r="A1" s="24" t="s">
        <v>563</v>
      </c>
      <c r="AK1" s="28"/>
    </row>
    <row r="2" spans="1:42" ht="26">
      <c r="A2" s="24" t="s">
        <v>160</v>
      </c>
      <c r="I2" s="26" t="s">
        <v>172</v>
      </c>
      <c r="AK2" s="28"/>
    </row>
    <row r="3" spans="1:42">
      <c r="AK3" s="28"/>
    </row>
    <row r="4" spans="1:42">
      <c r="E4" s="1089" t="s">
        <v>62</v>
      </c>
      <c r="F4" s="1089"/>
      <c r="G4" s="1089"/>
      <c r="H4" s="1089"/>
      <c r="I4" s="1088" t="s">
        <v>155</v>
      </c>
      <c r="J4" s="1068" t="s">
        <v>145</v>
      </c>
      <c r="K4" s="1069"/>
      <c r="L4" s="1070"/>
      <c r="M4" s="1071" t="s">
        <v>212</v>
      </c>
      <c r="N4" s="1072" t="s">
        <v>145</v>
      </c>
      <c r="O4" s="1073"/>
      <c r="P4" s="1074"/>
      <c r="Q4" s="1075" t="s">
        <v>159</v>
      </c>
      <c r="R4" s="1076" t="s">
        <v>145</v>
      </c>
      <c r="S4" s="1077"/>
      <c r="T4" s="1078"/>
      <c r="U4" s="1096" t="s">
        <v>157</v>
      </c>
      <c r="V4" s="1097" t="s">
        <v>145</v>
      </c>
      <c r="W4" s="1098"/>
      <c r="X4" s="1099"/>
      <c r="Y4" s="1060" t="s">
        <v>63</v>
      </c>
      <c r="Z4" s="1093" t="s">
        <v>145</v>
      </c>
      <c r="AA4" s="1094"/>
      <c r="AB4" s="1095"/>
      <c r="AC4" s="1100" t="s">
        <v>162</v>
      </c>
      <c r="AD4" s="1101" t="s">
        <v>145</v>
      </c>
      <c r="AE4" s="1102"/>
      <c r="AF4" s="1103"/>
      <c r="AG4" s="1104" t="s">
        <v>163</v>
      </c>
      <c r="AH4" s="1090" t="s">
        <v>145</v>
      </c>
      <c r="AI4" s="1091"/>
      <c r="AJ4" s="1092"/>
      <c r="AK4" s="1067" t="s">
        <v>61</v>
      </c>
      <c r="AL4" s="1057" t="s">
        <v>145</v>
      </c>
      <c r="AM4" s="1058"/>
      <c r="AN4" s="1059"/>
      <c r="AO4" s="31" t="s">
        <v>12</v>
      </c>
      <c r="AP4" s="31" t="s">
        <v>23</v>
      </c>
    </row>
    <row r="5" spans="1:42" s="24" customFormat="1">
      <c r="E5" s="1089"/>
      <c r="F5" s="1089"/>
      <c r="G5" s="1089"/>
      <c r="H5" s="1089"/>
      <c r="I5" s="1088"/>
      <c r="J5" s="32" t="s">
        <v>144</v>
      </c>
      <c r="K5" s="32" t="s">
        <v>208</v>
      </c>
      <c r="L5" s="32" t="s">
        <v>154</v>
      </c>
      <c r="M5" s="1071"/>
      <c r="N5" s="33" t="s">
        <v>144</v>
      </c>
      <c r="O5" s="33" t="s">
        <v>208</v>
      </c>
      <c r="P5" s="33" t="s">
        <v>154</v>
      </c>
      <c r="Q5" s="1075"/>
      <c r="R5" s="34" t="s">
        <v>144</v>
      </c>
      <c r="S5" s="34" t="s">
        <v>208</v>
      </c>
      <c r="T5" s="34" t="s">
        <v>154</v>
      </c>
      <c r="U5" s="1096"/>
      <c r="V5" s="35" t="s">
        <v>144</v>
      </c>
      <c r="W5" s="35" t="s">
        <v>208</v>
      </c>
      <c r="X5" s="35" t="s">
        <v>154</v>
      </c>
      <c r="Y5" s="1060"/>
      <c r="Z5" s="36" t="s">
        <v>144</v>
      </c>
      <c r="AA5" s="36" t="s">
        <v>208</v>
      </c>
      <c r="AB5" s="36" t="s">
        <v>154</v>
      </c>
      <c r="AC5" s="1100"/>
      <c r="AD5" s="37" t="s">
        <v>144</v>
      </c>
      <c r="AE5" s="37" t="s">
        <v>208</v>
      </c>
      <c r="AF5" s="37" t="s">
        <v>154</v>
      </c>
      <c r="AG5" s="1104"/>
      <c r="AH5" s="38" t="s">
        <v>144</v>
      </c>
      <c r="AI5" s="38" t="s">
        <v>208</v>
      </c>
      <c r="AJ5" s="38" t="s">
        <v>154</v>
      </c>
      <c r="AK5" s="1067"/>
      <c r="AL5" s="98" t="s">
        <v>144</v>
      </c>
      <c r="AM5" s="98" t="s">
        <v>208</v>
      </c>
      <c r="AN5" s="98" t="s">
        <v>154</v>
      </c>
      <c r="AO5" s="31"/>
      <c r="AP5" s="31"/>
    </row>
    <row r="6" spans="1:42" s="24" customFormat="1">
      <c r="E6" s="1064" t="s">
        <v>64</v>
      </c>
      <c r="F6" s="1065"/>
      <c r="G6" s="1065"/>
      <c r="H6" s="1066"/>
      <c r="I6" s="39">
        <v>12000</v>
      </c>
      <c r="J6" s="39"/>
      <c r="K6" s="39"/>
      <c r="L6" s="39"/>
      <c r="M6" s="40">
        <v>12000</v>
      </c>
      <c r="N6" s="41"/>
      <c r="O6" s="41"/>
      <c r="P6" s="41"/>
      <c r="Q6" s="42">
        <v>6000</v>
      </c>
      <c r="R6" s="43"/>
      <c r="S6" s="43"/>
      <c r="T6" s="43"/>
      <c r="U6" s="44">
        <v>4000</v>
      </c>
      <c r="V6" s="45"/>
      <c r="W6" s="45"/>
      <c r="X6" s="45"/>
      <c r="Y6" s="46">
        <v>4000</v>
      </c>
      <c r="Z6" s="47"/>
      <c r="AA6" s="47"/>
      <c r="AB6" s="47"/>
      <c r="AC6" s="48">
        <v>4000</v>
      </c>
      <c r="AD6" s="49"/>
      <c r="AE6" s="49"/>
      <c r="AF6" s="49"/>
      <c r="AG6" s="50">
        <v>2000</v>
      </c>
      <c r="AH6" s="51"/>
      <c r="AI6" s="51"/>
      <c r="AJ6" s="51"/>
      <c r="AK6" s="52">
        <v>2000</v>
      </c>
      <c r="AL6" s="99"/>
      <c r="AM6" s="99"/>
      <c r="AN6" s="99"/>
      <c r="AO6" s="31"/>
      <c r="AP6" s="31"/>
    </row>
    <row r="7" spans="1:42" s="24" customFormat="1">
      <c r="E7" s="1064" t="s">
        <v>70</v>
      </c>
      <c r="F7" s="1065"/>
      <c r="G7" s="1065"/>
      <c r="H7" s="1066"/>
      <c r="I7" s="53" t="s">
        <v>156</v>
      </c>
      <c r="J7" s="54"/>
      <c r="K7" s="54"/>
      <c r="L7" s="54"/>
      <c r="M7" s="55"/>
      <c r="N7" s="41"/>
      <c r="O7" s="41"/>
      <c r="P7" s="41"/>
      <c r="Q7" s="56"/>
      <c r="R7" s="43"/>
      <c r="S7" s="43"/>
      <c r="T7" s="43"/>
      <c r="U7" s="57"/>
      <c r="V7" s="45"/>
      <c r="W7" s="45"/>
      <c r="X7" s="45"/>
      <c r="Y7" s="58" t="s">
        <v>72</v>
      </c>
      <c r="Z7" s="47"/>
      <c r="AA7" s="47"/>
      <c r="AB7" s="47"/>
      <c r="AC7" s="59"/>
      <c r="AD7" s="49"/>
      <c r="AE7" s="49"/>
      <c r="AF7" s="49"/>
      <c r="AG7" s="60"/>
      <c r="AH7" s="51"/>
      <c r="AI7" s="51"/>
      <c r="AJ7" s="51"/>
      <c r="AK7" s="61" t="s">
        <v>73</v>
      </c>
      <c r="AL7" s="99"/>
      <c r="AM7" s="99"/>
      <c r="AN7" s="99"/>
      <c r="AO7" s="31"/>
      <c r="AP7" s="31"/>
    </row>
    <row r="8" spans="1:42" s="24" customFormat="1">
      <c r="E8" s="1064" t="s">
        <v>66</v>
      </c>
      <c r="F8" s="1065"/>
      <c r="G8" s="1065"/>
      <c r="H8" s="1066"/>
      <c r="I8" s="53"/>
      <c r="J8" s="54"/>
      <c r="K8" s="54"/>
      <c r="L8" s="54"/>
      <c r="M8" s="55"/>
      <c r="N8" s="41"/>
      <c r="O8" s="41"/>
      <c r="P8" s="41"/>
      <c r="Q8" s="56"/>
      <c r="R8" s="43"/>
      <c r="S8" s="43"/>
      <c r="T8" s="43"/>
      <c r="U8" s="57"/>
      <c r="V8" s="45"/>
      <c r="W8" s="45"/>
      <c r="X8" s="45"/>
      <c r="Y8" s="58"/>
      <c r="Z8" s="47"/>
      <c r="AA8" s="47"/>
      <c r="AB8" s="47"/>
      <c r="AC8" s="59"/>
      <c r="AD8" s="49"/>
      <c r="AE8" s="49"/>
      <c r="AF8" s="49"/>
      <c r="AG8" s="60"/>
      <c r="AH8" s="51"/>
      <c r="AI8" s="51"/>
      <c r="AJ8" s="51"/>
      <c r="AK8" s="61"/>
      <c r="AL8" s="99"/>
      <c r="AM8" s="99"/>
      <c r="AN8" s="99"/>
      <c r="AO8" s="31"/>
      <c r="AP8" s="31"/>
    </row>
    <row r="9" spans="1:42" s="24" customFormat="1" ht="26">
      <c r="E9" s="1064" t="s">
        <v>67</v>
      </c>
      <c r="F9" s="1065"/>
      <c r="G9" s="1065"/>
      <c r="H9" s="1066"/>
      <c r="I9" s="53" t="s">
        <v>79</v>
      </c>
      <c r="J9" s="54"/>
      <c r="K9" s="54"/>
      <c r="L9" s="54"/>
      <c r="M9" s="55" t="s">
        <v>79</v>
      </c>
      <c r="N9" s="41"/>
      <c r="O9" s="41"/>
      <c r="P9" s="41"/>
      <c r="Q9" s="56" t="s">
        <v>79</v>
      </c>
      <c r="R9" s="43"/>
      <c r="S9" s="43"/>
      <c r="T9" s="43"/>
      <c r="U9" s="57" t="s">
        <v>79</v>
      </c>
      <c r="V9" s="45"/>
      <c r="W9" s="45"/>
      <c r="X9" s="45"/>
      <c r="Y9" s="58" t="s">
        <v>79</v>
      </c>
      <c r="Z9" s="47"/>
      <c r="AA9" s="47"/>
      <c r="AB9" s="47"/>
      <c r="AC9" s="59" t="s">
        <v>79</v>
      </c>
      <c r="AD9" s="49"/>
      <c r="AE9" s="49"/>
      <c r="AF9" s="49"/>
      <c r="AG9" s="60" t="s">
        <v>79</v>
      </c>
      <c r="AH9" s="51"/>
      <c r="AI9" s="51"/>
      <c r="AJ9" s="51"/>
      <c r="AK9" s="61" t="s">
        <v>79</v>
      </c>
      <c r="AL9" s="99"/>
      <c r="AM9" s="99"/>
      <c r="AN9" s="99"/>
      <c r="AO9" s="31"/>
      <c r="AP9" s="31"/>
    </row>
    <row r="10" spans="1:42" s="24" customFormat="1">
      <c r="E10" s="1064" t="s">
        <v>68</v>
      </c>
      <c r="F10" s="1065"/>
      <c r="G10" s="1065"/>
      <c r="H10" s="1066"/>
      <c r="I10" s="53" t="s">
        <v>78</v>
      </c>
      <c r="J10" s="54"/>
      <c r="K10" s="54"/>
      <c r="L10" s="54"/>
      <c r="M10" s="55" t="s">
        <v>78</v>
      </c>
      <c r="N10" s="41"/>
      <c r="O10" s="41"/>
      <c r="P10" s="41"/>
      <c r="Q10" s="56" t="s">
        <v>78</v>
      </c>
      <c r="R10" s="43"/>
      <c r="S10" s="43"/>
      <c r="T10" s="43"/>
      <c r="U10" s="57" t="s">
        <v>78</v>
      </c>
      <c r="V10" s="45"/>
      <c r="W10" s="45"/>
      <c r="X10" s="45"/>
      <c r="Y10" s="58" t="s">
        <v>78</v>
      </c>
      <c r="Z10" s="47"/>
      <c r="AA10" s="47"/>
      <c r="AB10" s="47"/>
      <c r="AC10" s="59" t="s">
        <v>78</v>
      </c>
      <c r="AD10" s="49"/>
      <c r="AE10" s="49"/>
      <c r="AF10" s="49"/>
      <c r="AG10" s="60" t="s">
        <v>78</v>
      </c>
      <c r="AH10" s="51"/>
      <c r="AI10" s="51"/>
      <c r="AJ10" s="51"/>
      <c r="AK10" s="61" t="str">
        <f>Y10</f>
        <v xml:space="preserve">Gas Stoves in each unit, 1 bathroom per apt, </v>
      </c>
      <c r="AL10" s="99"/>
      <c r="AM10" s="99"/>
      <c r="AN10" s="99"/>
      <c r="AO10" s="31"/>
      <c r="AP10" s="31"/>
    </row>
    <row r="11" spans="1:42" s="62" customFormat="1">
      <c r="E11" s="1064" t="s">
        <v>69</v>
      </c>
      <c r="F11" s="1065"/>
      <c r="G11" s="1065"/>
      <c r="H11" s="1066"/>
      <c r="I11" s="39" t="s">
        <v>65</v>
      </c>
      <c r="J11" s="54"/>
      <c r="K11" s="54"/>
      <c r="L11" s="54"/>
      <c r="M11" s="40" t="s">
        <v>65</v>
      </c>
      <c r="N11" s="41"/>
      <c r="O11" s="41"/>
      <c r="P11" s="41"/>
      <c r="Q11" s="42" t="s">
        <v>65</v>
      </c>
      <c r="R11" s="43"/>
      <c r="S11" s="43"/>
      <c r="T11" s="43"/>
      <c r="U11" s="44" t="s">
        <v>65</v>
      </c>
      <c r="V11" s="45"/>
      <c r="W11" s="45"/>
      <c r="X11" s="45"/>
      <c r="Y11" s="46" t="s">
        <v>65</v>
      </c>
      <c r="Z11" s="47"/>
      <c r="AA11" s="47"/>
      <c r="AB11" s="47"/>
      <c r="AC11" s="48" t="s">
        <v>65</v>
      </c>
      <c r="AD11" s="49"/>
      <c r="AE11" s="49"/>
      <c r="AF11" s="49"/>
      <c r="AG11" s="50" t="s">
        <v>65</v>
      </c>
      <c r="AH11" s="51"/>
      <c r="AI11" s="51"/>
      <c r="AJ11" s="51"/>
      <c r="AK11" s="61" t="str">
        <f>Y11</f>
        <v>sprinklers</v>
      </c>
      <c r="AL11" s="99"/>
      <c r="AM11" s="99"/>
      <c r="AN11" s="99"/>
      <c r="AO11" s="63"/>
      <c r="AP11" s="63"/>
    </row>
    <row r="12" spans="1:42" s="62" customFormat="1" ht="26">
      <c r="E12" s="1064" t="s">
        <v>71</v>
      </c>
      <c r="F12" s="1065"/>
      <c r="G12" s="1065"/>
      <c r="H12" s="1066"/>
      <c r="I12" s="39" t="s">
        <v>214</v>
      </c>
      <c r="J12" s="54"/>
      <c r="K12" s="54"/>
      <c r="L12" s="54"/>
      <c r="M12" s="40" t="str">
        <f>$I$12</f>
        <v>&lt;150' height : 20,000 sf footprint / 12,000 sf retail  : 110,000 sf : 130 units : precast plank on block : metal frame and sheetrock</v>
      </c>
      <c r="N12" s="41"/>
      <c r="O12" s="41"/>
      <c r="P12" s="41"/>
      <c r="Q12" s="42" t="str">
        <f>$I$12</f>
        <v>&lt;150' height : 20,000 sf footprint / 12,000 sf retail  : 110,000 sf : 130 units : precast plank on block : metal frame and sheetrock</v>
      </c>
      <c r="R12" s="43"/>
      <c r="S12" s="43"/>
      <c r="T12" s="43"/>
      <c r="U12" s="44" t="str">
        <f>$I$12</f>
        <v>&lt;150' height : 20,000 sf footprint / 12,000 sf retail  : 110,000 sf : 130 units : precast plank on block : metal frame and sheetrock</v>
      </c>
      <c r="V12" s="45"/>
      <c r="W12" s="45"/>
      <c r="X12" s="45"/>
      <c r="Y12" s="46" t="str">
        <f>$I$12</f>
        <v>&lt;150' height : 20,000 sf footprint / 12,000 sf retail  : 110,000 sf : 130 units : precast plank on block : metal frame and sheetrock</v>
      </c>
      <c r="Z12" s="47"/>
      <c r="AA12" s="47"/>
      <c r="AB12" s="47"/>
      <c r="AC12" s="48" t="str">
        <f>$I$12</f>
        <v>&lt;150' height : 20,000 sf footprint / 12,000 sf retail  : 110,000 sf : 130 units : precast plank on block : metal frame and sheetrock</v>
      </c>
      <c r="AD12" s="49"/>
      <c r="AE12" s="49"/>
      <c r="AF12" s="49"/>
      <c r="AG12" s="50" t="str">
        <f>$I$12</f>
        <v>&lt;150' height : 20,000 sf footprint / 12,000 sf retail  : 110,000 sf : 130 units : precast plank on block : metal frame and sheetrock</v>
      </c>
      <c r="AH12" s="51"/>
      <c r="AI12" s="51"/>
      <c r="AJ12" s="51"/>
      <c r="AK12" s="61" t="str">
        <f>$I$12</f>
        <v>&lt;150' height : 20,000 sf footprint / 12,000 sf retail  : 110,000 sf : 130 units : precast plank on block : metal frame and sheetrock</v>
      </c>
      <c r="AL12" s="99"/>
      <c r="AM12" s="99"/>
      <c r="AN12" s="99"/>
      <c r="AO12" s="63"/>
      <c r="AP12" s="63"/>
    </row>
    <row r="13" spans="1:42">
      <c r="E13" s="327">
        <v>1</v>
      </c>
      <c r="F13" s="328" t="s">
        <v>28</v>
      </c>
      <c r="G13" s="329"/>
      <c r="H13" s="330"/>
      <c r="I13" s="331"/>
      <c r="J13" s="332"/>
      <c r="K13" s="332"/>
      <c r="L13" s="332"/>
      <c r="M13" s="331"/>
      <c r="N13" s="332"/>
      <c r="O13" s="332"/>
      <c r="P13" s="332"/>
      <c r="Q13" s="331"/>
      <c r="R13" s="332"/>
      <c r="S13" s="332"/>
      <c r="T13" s="332"/>
      <c r="U13" s="331"/>
      <c r="V13" s="332"/>
      <c r="W13" s="332"/>
      <c r="X13" s="332"/>
      <c r="Y13" s="331"/>
      <c r="Z13" s="332"/>
      <c r="AA13" s="332"/>
      <c r="AB13" s="332"/>
      <c r="AC13" s="331"/>
      <c r="AD13" s="332"/>
      <c r="AE13" s="332"/>
      <c r="AF13" s="332"/>
      <c r="AG13" s="331"/>
      <c r="AH13" s="332"/>
      <c r="AI13" s="332"/>
      <c r="AJ13" s="332"/>
      <c r="AK13" s="331"/>
      <c r="AL13" s="332"/>
      <c r="AM13" s="332"/>
      <c r="AN13" s="332"/>
      <c r="AO13" s="333"/>
      <c r="AP13" s="333"/>
    </row>
    <row r="14" spans="1:42">
      <c r="E14" s="334">
        <v>1.1000000000000001</v>
      </c>
      <c r="F14" s="1105" t="s">
        <v>0</v>
      </c>
      <c r="G14" s="1106"/>
      <c r="H14" s="1107"/>
      <c r="I14" s="331"/>
      <c r="J14" s="332"/>
      <c r="K14" s="332"/>
      <c r="L14" s="332"/>
      <c r="M14" s="331"/>
      <c r="N14" s="332"/>
      <c r="O14" s="332"/>
      <c r="P14" s="332"/>
      <c r="Q14" s="331"/>
      <c r="R14" s="332"/>
      <c r="S14" s="332"/>
      <c r="T14" s="332"/>
      <c r="U14" s="331"/>
      <c r="V14" s="332"/>
      <c r="W14" s="332"/>
      <c r="X14" s="332"/>
      <c r="Y14" s="331"/>
      <c r="Z14" s="332"/>
      <c r="AA14" s="332"/>
      <c r="AB14" s="332"/>
      <c r="AC14" s="331"/>
      <c r="AD14" s="332"/>
      <c r="AE14" s="332"/>
      <c r="AF14" s="332"/>
      <c r="AG14" s="331"/>
      <c r="AH14" s="332"/>
      <c r="AI14" s="332"/>
      <c r="AJ14" s="332"/>
      <c r="AK14" s="331"/>
      <c r="AL14" s="332"/>
      <c r="AM14" s="332"/>
      <c r="AN14" s="332"/>
      <c r="AO14" s="333"/>
      <c r="AP14" s="333"/>
    </row>
    <row r="15" spans="1:42" s="81" customFormat="1" ht="36" outlineLevel="1">
      <c r="A15" s="80"/>
      <c r="B15" s="80"/>
      <c r="C15" s="80"/>
      <c r="D15" s="80"/>
      <c r="E15" s="1079" t="s">
        <v>5</v>
      </c>
      <c r="F15" s="1080"/>
      <c r="G15" s="1130" t="s">
        <v>24</v>
      </c>
      <c r="H15" s="1131"/>
      <c r="I15" s="335"/>
      <c r="J15" s="336"/>
      <c r="K15" s="336"/>
      <c r="L15" s="336"/>
      <c r="M15" s="335"/>
      <c r="N15" s="336"/>
      <c r="O15" s="336"/>
      <c r="P15" s="336"/>
      <c r="Q15" s="335"/>
      <c r="R15" s="336"/>
      <c r="S15" s="336"/>
      <c r="T15" s="336"/>
      <c r="U15" s="335"/>
      <c r="V15" s="336"/>
      <c r="W15" s="336"/>
      <c r="X15" s="336"/>
      <c r="Y15" s="335"/>
      <c r="Z15" s="336"/>
      <c r="AA15" s="336"/>
      <c r="AB15" s="336"/>
      <c r="AC15" s="335"/>
      <c r="AD15" s="336"/>
      <c r="AE15" s="336"/>
      <c r="AF15" s="336"/>
      <c r="AG15" s="335"/>
      <c r="AH15" s="336"/>
      <c r="AI15" s="336"/>
      <c r="AJ15" s="336"/>
      <c r="AK15" s="335"/>
      <c r="AL15" s="336"/>
      <c r="AM15" s="336"/>
      <c r="AN15" s="336"/>
      <c r="AO15" s="337"/>
      <c r="AP15" s="337" t="s">
        <v>213</v>
      </c>
    </row>
    <row r="16" spans="1:42" s="71" customFormat="1" ht="36" outlineLevel="1">
      <c r="A16" s="82"/>
      <c r="B16" s="82"/>
      <c r="C16" s="82"/>
      <c r="D16" s="82"/>
      <c r="E16" s="1081"/>
      <c r="F16" s="1082"/>
      <c r="G16" s="338" t="s">
        <v>370</v>
      </c>
      <c r="H16" s="339"/>
      <c r="I16" s="340" t="s">
        <v>254</v>
      </c>
      <c r="J16" s="341">
        <f>VLOOKUP($G16,Supermarket!$D$10:$K$30,8,FALSE)</f>
        <v>166500</v>
      </c>
      <c r="K16" s="341"/>
      <c r="L16" s="341"/>
      <c r="M16" s="340" t="s">
        <v>255</v>
      </c>
      <c r="N16" s="341">
        <f>+VLOOKUP($G16,PharmacyL!$D$10:$K$194,8,FALSE)</f>
        <v>166500</v>
      </c>
      <c r="O16" s="341"/>
      <c r="P16" s="341"/>
      <c r="Q16" s="340" t="s">
        <v>256</v>
      </c>
      <c r="R16" s="341">
        <f>+VLOOKUP($G16,PharmacyS!$D$10:$K$195,8,FALSE)</f>
        <v>68500</v>
      </c>
      <c r="S16" s="341"/>
      <c r="T16" s="341"/>
      <c r="U16" s="340" t="s">
        <v>257</v>
      </c>
      <c r="V16" s="341">
        <f>+VLOOKUP($G16,HealthCare!$D$10:$K$195,8,FALSE)</f>
        <v>52500</v>
      </c>
      <c r="W16" s="341"/>
      <c r="X16" s="341"/>
      <c r="Y16" s="340" t="s">
        <v>261</v>
      </c>
      <c r="Z16" s="341">
        <f>+VLOOKUP($G16,Restaurant!$D$10:$K$194,8,FALSE)</f>
        <v>92500</v>
      </c>
      <c r="AA16" s="341"/>
      <c r="AB16" s="341"/>
      <c r="AC16" s="340" t="s">
        <v>259</v>
      </c>
      <c r="AD16" s="341">
        <f>+VLOOKUP($G16,GenRetL!$D$10:$K$194,8,FALSE)</f>
        <v>47500</v>
      </c>
      <c r="AE16" s="341"/>
      <c r="AF16" s="341"/>
      <c r="AG16" s="340" t="s">
        <v>260</v>
      </c>
      <c r="AH16" s="341">
        <f>+VLOOKUP($G16,GenRetS!$D$10:$K$195,8,FALSE)</f>
        <v>29500</v>
      </c>
      <c r="AI16" s="341"/>
      <c r="AJ16" s="341"/>
      <c r="AK16" s="340" t="s">
        <v>258</v>
      </c>
      <c r="AL16" s="341">
        <f>+VLOOKUP($G16,Laundr!$D$10:$K$195,8,FALSE)</f>
        <v>58500</v>
      </c>
      <c r="AM16" s="341"/>
      <c r="AN16" s="341"/>
      <c r="AO16" s="342"/>
      <c r="AP16" s="342"/>
    </row>
    <row r="17" spans="1:42" s="71" customFormat="1" ht="12" outlineLevel="1">
      <c r="A17" s="82"/>
      <c r="B17" s="82"/>
      <c r="C17" s="82"/>
      <c r="D17" s="82"/>
      <c r="E17" s="1081"/>
      <c r="F17" s="1082"/>
      <c r="G17" s="338" t="s">
        <v>369</v>
      </c>
      <c r="H17" s="339"/>
      <c r="I17" s="340" t="s">
        <v>165</v>
      </c>
      <c r="J17" s="341"/>
      <c r="K17" s="341">
        <f>VLOOKUP($G17,Supermarket!$D$10:$K$30,8,FALSE)</f>
        <v>48000</v>
      </c>
      <c r="L17" s="341"/>
      <c r="M17" s="340" t="s">
        <v>165</v>
      </c>
      <c r="N17" s="341"/>
      <c r="O17" s="341">
        <f>+VLOOKUP($G17,PharmacyL!$D$10:$K$194,8,FALSE)</f>
        <v>48000</v>
      </c>
      <c r="P17" s="341"/>
      <c r="Q17" s="340" t="s">
        <v>161</v>
      </c>
      <c r="R17" s="341"/>
      <c r="S17" s="341">
        <f>+VLOOKUP($G17,PharmacyS!$D$10:$K$195,8,FALSE)</f>
        <v>24000</v>
      </c>
      <c r="T17" s="341"/>
      <c r="U17" s="340" t="s">
        <v>161</v>
      </c>
      <c r="V17" s="341"/>
      <c r="W17" s="341">
        <f>+VLOOKUP($G17,HealthCare!$D$10:$K$195,8,FALSE)</f>
        <v>16000</v>
      </c>
      <c r="X17" s="341"/>
      <c r="Y17" s="340" t="s">
        <v>161</v>
      </c>
      <c r="Z17" s="341"/>
      <c r="AA17" s="341">
        <f>+VLOOKUP($G17,Restaurant!$D$10:$K$194,8,FALSE)</f>
        <v>16000</v>
      </c>
      <c r="AB17" s="341"/>
      <c r="AC17" s="340" t="s">
        <v>161</v>
      </c>
      <c r="AD17" s="341"/>
      <c r="AE17" s="341">
        <f>+VLOOKUP($G17,GenRetL!$D$10:$K$194,8,FALSE)</f>
        <v>16000</v>
      </c>
      <c r="AF17" s="341"/>
      <c r="AG17" s="340" t="s">
        <v>161</v>
      </c>
      <c r="AH17" s="341"/>
      <c r="AI17" s="341">
        <f>+VLOOKUP($G17,GenRetS!$D$10:$K$195,8,FALSE)</f>
        <v>8000</v>
      </c>
      <c r="AJ17" s="341"/>
      <c r="AK17" s="340" t="s">
        <v>161</v>
      </c>
      <c r="AL17" s="341"/>
      <c r="AM17" s="341">
        <f>+VLOOKUP($G17,Laundr!$D$10:$K$195,8,FALSE)</f>
        <v>8000</v>
      </c>
      <c r="AN17" s="341"/>
      <c r="AO17" s="342"/>
      <c r="AP17" s="342" t="s">
        <v>164</v>
      </c>
    </row>
    <row r="18" spans="1:42" s="71" customFormat="1" ht="12" outlineLevel="1">
      <c r="A18" s="82"/>
      <c r="B18" s="82"/>
      <c r="C18" s="82"/>
      <c r="D18" s="82"/>
      <c r="E18" s="1083"/>
      <c r="F18" s="1084"/>
      <c r="G18" s="338" t="s">
        <v>371</v>
      </c>
      <c r="H18" s="339"/>
      <c r="I18" s="340" t="s">
        <v>173</v>
      </c>
      <c r="J18" s="341"/>
      <c r="K18" s="341"/>
      <c r="L18" s="341">
        <f>VLOOKUP($G18,Supermarket!$D$10:$K$30,8,FALSE)</f>
        <v>0</v>
      </c>
      <c r="M18" s="340" t="s">
        <v>173</v>
      </c>
      <c r="N18" s="341"/>
      <c r="O18" s="341"/>
      <c r="P18" s="341">
        <f>+VLOOKUP($G18,PharmacyL!$D$10:$K$194,8,FALSE)</f>
        <v>0</v>
      </c>
      <c r="Q18" s="340" t="s">
        <v>173</v>
      </c>
      <c r="R18" s="341"/>
      <c r="S18" s="341"/>
      <c r="T18" s="341">
        <f>+VLOOKUP($G18,PharmacyS!$D$10:$K$195,8,FALSE)</f>
        <v>0</v>
      </c>
      <c r="U18" s="340" t="s">
        <v>173</v>
      </c>
      <c r="V18" s="341"/>
      <c r="W18" s="341"/>
      <c r="X18" s="341">
        <f>+VLOOKUP($G18,HealthCare!$D$10:$K$195,8,FALSE)</f>
        <v>0</v>
      </c>
      <c r="Y18" s="340" t="s">
        <v>173</v>
      </c>
      <c r="Z18" s="341"/>
      <c r="AA18" s="341"/>
      <c r="AB18" s="341">
        <f>+VLOOKUP($G18,Restaurant!$D$10:$K$194,8,FALSE)</f>
        <v>0</v>
      </c>
      <c r="AC18" s="340" t="s">
        <v>173</v>
      </c>
      <c r="AD18" s="341"/>
      <c r="AE18" s="341"/>
      <c r="AF18" s="341">
        <f>+VLOOKUP($G18,GenRetL!$D$10:$K$194,8,FALSE)</f>
        <v>0</v>
      </c>
      <c r="AG18" s="340" t="s">
        <v>173</v>
      </c>
      <c r="AH18" s="341"/>
      <c r="AI18" s="341"/>
      <c r="AJ18" s="341">
        <f>+VLOOKUP($G18,GenRetS!$D$10:$K$195,8,FALSE)</f>
        <v>0</v>
      </c>
      <c r="AK18" s="340" t="s">
        <v>173</v>
      </c>
      <c r="AL18" s="341"/>
      <c r="AM18" s="341"/>
      <c r="AN18" s="341">
        <f>+VLOOKUP($G18,Laundr!$D$10:$K$195,8,FALSE)</f>
        <v>0</v>
      </c>
      <c r="AO18" s="342"/>
      <c r="AP18" s="342"/>
    </row>
    <row r="19" spans="1:42" s="81" customFormat="1" ht="12" outlineLevel="1">
      <c r="A19" s="80"/>
      <c r="B19" s="80"/>
      <c r="C19" s="80"/>
      <c r="D19" s="80"/>
      <c r="E19" s="1079" t="s">
        <v>6</v>
      </c>
      <c r="F19" s="1080"/>
      <c r="G19" s="1130" t="s">
        <v>1</v>
      </c>
      <c r="H19" s="1131"/>
      <c r="I19" s="335"/>
      <c r="J19" s="336"/>
      <c r="K19" s="336"/>
      <c r="L19" s="336"/>
      <c r="M19" s="335"/>
      <c r="N19" s="336"/>
      <c r="O19" s="336"/>
      <c r="P19" s="336"/>
      <c r="Q19" s="335"/>
      <c r="R19" s="336"/>
      <c r="S19" s="336"/>
      <c r="T19" s="336"/>
      <c r="U19" s="335"/>
      <c r="V19" s="336"/>
      <c r="W19" s="336"/>
      <c r="X19" s="336"/>
      <c r="Y19" s="335"/>
      <c r="Z19" s="336"/>
      <c r="AA19" s="336"/>
      <c r="AB19" s="336"/>
      <c r="AC19" s="335"/>
      <c r="AD19" s="336"/>
      <c r="AE19" s="336"/>
      <c r="AF19" s="336"/>
      <c r="AG19" s="335"/>
      <c r="AH19" s="336"/>
      <c r="AI19" s="336"/>
      <c r="AJ19" s="336"/>
      <c r="AK19" s="335"/>
      <c r="AL19" s="336"/>
      <c r="AM19" s="336"/>
      <c r="AN19" s="336"/>
      <c r="AO19" s="337"/>
      <c r="AP19" s="337"/>
    </row>
    <row r="20" spans="1:42" s="71" customFormat="1" ht="36" outlineLevel="1">
      <c r="A20" s="82"/>
      <c r="B20" s="82"/>
      <c r="C20" s="82"/>
      <c r="D20" s="82"/>
      <c r="E20" s="1081"/>
      <c r="F20" s="1082"/>
      <c r="G20" s="338" t="s">
        <v>372</v>
      </c>
      <c r="H20" s="339" t="s">
        <v>166</v>
      </c>
      <c r="I20" s="340" t="s">
        <v>263</v>
      </c>
      <c r="J20" s="341">
        <f>VLOOKUP($G20,Supermarket!$D$10:$K$30,8,FALSE)</f>
        <v>0</v>
      </c>
      <c r="K20" s="341"/>
      <c r="L20" s="341"/>
      <c r="M20" s="340" t="s">
        <v>264</v>
      </c>
      <c r="N20" s="341">
        <f>+VLOOKUP($G20,PharmacyL!$D$10:$K$194,8,FALSE)</f>
        <v>0</v>
      </c>
      <c r="O20" s="341"/>
      <c r="P20" s="341"/>
      <c r="Q20" s="340" t="s">
        <v>265</v>
      </c>
      <c r="R20" s="341"/>
      <c r="S20" s="341"/>
      <c r="T20" s="341"/>
      <c r="U20" s="340" t="s">
        <v>266</v>
      </c>
      <c r="V20" s="341">
        <f>+VLOOKUP($G20,HealthCare!$D$10:$K$195,8,FALSE)</f>
        <v>0</v>
      </c>
      <c r="W20" s="341"/>
      <c r="X20" s="341"/>
      <c r="Y20" s="340" t="s">
        <v>267</v>
      </c>
      <c r="Z20" s="341">
        <f>+VLOOKUP($G20,Restaurant!$D$10:$K$194,8,FALSE)</f>
        <v>0</v>
      </c>
      <c r="AA20" s="341"/>
      <c r="AB20" s="341"/>
      <c r="AC20" s="340" t="s">
        <v>268</v>
      </c>
      <c r="AD20" s="341">
        <f>+VLOOKUP($G20,GenRetL!$D$10:$K$194,8,FALSE)</f>
        <v>0</v>
      </c>
      <c r="AE20" s="341"/>
      <c r="AF20" s="341"/>
      <c r="AG20" s="340" t="s">
        <v>269</v>
      </c>
      <c r="AH20" s="341">
        <f>+VLOOKUP($G20,GenRetS!$D$10:$K$195,8,FALSE)</f>
        <v>0</v>
      </c>
      <c r="AI20" s="341"/>
      <c r="AJ20" s="341"/>
      <c r="AK20" s="340" t="s">
        <v>269</v>
      </c>
      <c r="AL20" s="341">
        <f>+VLOOKUP($G20,Laundr!$D$10:$K$195,8,FALSE)</f>
        <v>0</v>
      </c>
      <c r="AM20" s="341"/>
      <c r="AN20" s="341"/>
      <c r="AO20" s="342"/>
      <c r="AP20" s="342" t="s">
        <v>262</v>
      </c>
    </row>
    <row r="21" spans="1:42" s="71" customFormat="1" ht="12" outlineLevel="1">
      <c r="A21" s="82"/>
      <c r="B21" s="82"/>
      <c r="C21" s="82"/>
      <c r="D21" s="82"/>
      <c r="E21" s="1081"/>
      <c r="F21" s="1082"/>
      <c r="G21" s="338" t="s">
        <v>373</v>
      </c>
      <c r="H21" s="339"/>
      <c r="I21" s="340" t="s">
        <v>167</v>
      </c>
      <c r="J21" s="341"/>
      <c r="K21" s="341">
        <f>VLOOKUP($G21,Supermarket!$D$10:$K$30,8,FALSE)</f>
        <v>48000</v>
      </c>
      <c r="L21" s="341"/>
      <c r="M21" s="340"/>
      <c r="N21" s="341"/>
      <c r="O21" s="341">
        <f>+VLOOKUP($G21,PharmacyL!$D$10:$K$194,8,FALSE)</f>
        <v>0</v>
      </c>
      <c r="P21" s="341"/>
      <c r="Q21" s="340"/>
      <c r="R21" s="341"/>
      <c r="S21" s="341"/>
      <c r="T21" s="341"/>
      <c r="U21" s="340"/>
      <c r="V21" s="341"/>
      <c r="W21" s="341">
        <f>+VLOOKUP($G21,HealthCare!$D$10:$K$195,8,FALSE)</f>
        <v>0</v>
      </c>
      <c r="X21" s="341"/>
      <c r="Y21" s="340"/>
      <c r="Z21" s="341"/>
      <c r="AA21" s="341">
        <f>+VLOOKUP($G21,Restaurant!$D$10:$K$194,8,FALSE)</f>
        <v>0</v>
      </c>
      <c r="AB21" s="341"/>
      <c r="AC21" s="340"/>
      <c r="AD21" s="341"/>
      <c r="AE21" s="341">
        <f>+VLOOKUP($G21,GenRetL!$D$10:$K$194,8,FALSE)</f>
        <v>0</v>
      </c>
      <c r="AF21" s="341"/>
      <c r="AG21" s="340"/>
      <c r="AH21" s="341"/>
      <c r="AI21" s="341">
        <f>+VLOOKUP($G21,GenRetS!$D$10:$K$195,8,FALSE)</f>
        <v>0</v>
      </c>
      <c r="AJ21" s="341"/>
      <c r="AK21" s="340"/>
      <c r="AL21" s="341"/>
      <c r="AM21" s="341">
        <f>+VLOOKUP($G21,Laundr!$D$10:$K$195,8,FALSE)</f>
        <v>0</v>
      </c>
      <c r="AN21" s="341"/>
      <c r="AO21" s="342"/>
      <c r="AP21" s="342"/>
    </row>
    <row r="22" spans="1:42" s="71" customFormat="1" ht="12" outlineLevel="1">
      <c r="A22" s="82"/>
      <c r="B22" s="82"/>
      <c r="C22" s="82"/>
      <c r="D22" s="82"/>
      <c r="E22" s="1083"/>
      <c r="F22" s="1084"/>
      <c r="G22" s="338" t="s">
        <v>372</v>
      </c>
      <c r="H22" s="339"/>
      <c r="I22" s="340" t="s">
        <v>173</v>
      </c>
      <c r="J22" s="341"/>
      <c r="K22" s="341"/>
      <c r="L22" s="341">
        <f>VLOOKUP($G22,Supermarket!$D$10:$K$30,8,FALSE)</f>
        <v>0</v>
      </c>
      <c r="M22" s="340"/>
      <c r="N22" s="341"/>
      <c r="O22" s="341"/>
      <c r="P22" s="341">
        <f>+VLOOKUP($G22,PharmacyL!$D$10:$K$194,8,FALSE)</f>
        <v>0</v>
      </c>
      <c r="Q22" s="340"/>
      <c r="R22" s="341"/>
      <c r="S22" s="341"/>
      <c r="T22" s="341"/>
      <c r="U22" s="340"/>
      <c r="V22" s="341"/>
      <c r="W22" s="341"/>
      <c r="X22" s="341">
        <f>+VLOOKUP($G22,HealthCare!$D$10:$K$195,8,FALSE)</f>
        <v>0</v>
      </c>
      <c r="Y22" s="340"/>
      <c r="Z22" s="341"/>
      <c r="AA22" s="341"/>
      <c r="AB22" s="341">
        <f>+VLOOKUP($G22,Restaurant!$D$10:$K$194,8,FALSE)</f>
        <v>0</v>
      </c>
      <c r="AC22" s="340"/>
      <c r="AD22" s="341"/>
      <c r="AE22" s="341"/>
      <c r="AF22" s="341">
        <f>+VLOOKUP($G22,GenRetL!$D$10:$K$194,8,FALSE)</f>
        <v>0</v>
      </c>
      <c r="AG22" s="340"/>
      <c r="AH22" s="341"/>
      <c r="AI22" s="341"/>
      <c r="AJ22" s="341">
        <f>+VLOOKUP($G22,GenRetS!$D$10:$K$195,8,FALSE)</f>
        <v>0</v>
      </c>
      <c r="AK22" s="340"/>
      <c r="AL22" s="341"/>
      <c r="AM22" s="341"/>
      <c r="AN22" s="341">
        <f>+VLOOKUP($G22,Laundr!$D$10:$K$195,8,FALSE)</f>
        <v>0</v>
      </c>
      <c r="AO22" s="342"/>
      <c r="AP22" s="342"/>
    </row>
    <row r="23" spans="1:42" s="81" customFormat="1" ht="12" outlineLevel="1">
      <c r="A23" s="80"/>
      <c r="B23" s="80"/>
      <c r="C23" s="80"/>
      <c r="D23" s="80"/>
      <c r="E23" s="1079" t="s">
        <v>7</v>
      </c>
      <c r="F23" s="1080"/>
      <c r="G23" s="1130" t="s">
        <v>2</v>
      </c>
      <c r="H23" s="1131"/>
      <c r="I23" s="335"/>
      <c r="J23" s="336"/>
      <c r="K23" s="336"/>
      <c r="L23" s="336"/>
      <c r="M23" s="335"/>
      <c r="N23" s="341"/>
      <c r="O23" s="336"/>
      <c r="P23" s="336"/>
      <c r="Q23" s="335"/>
      <c r="R23" s="336"/>
      <c r="S23" s="336"/>
      <c r="T23" s="336"/>
      <c r="U23" s="335"/>
      <c r="V23" s="336"/>
      <c r="W23" s="336"/>
      <c r="X23" s="336"/>
      <c r="Y23" s="335"/>
      <c r="Z23" s="336"/>
      <c r="AA23" s="336"/>
      <c r="AB23" s="336"/>
      <c r="AC23" s="335"/>
      <c r="AD23" s="336"/>
      <c r="AE23" s="336"/>
      <c r="AF23" s="336"/>
      <c r="AG23" s="335"/>
      <c r="AH23" s="336"/>
      <c r="AI23" s="336"/>
      <c r="AJ23" s="336"/>
      <c r="AK23" s="335"/>
      <c r="AL23" s="336"/>
      <c r="AM23" s="336"/>
      <c r="AN23" s="336"/>
      <c r="AO23" s="337"/>
      <c r="AP23" s="337"/>
    </row>
    <row r="24" spans="1:42" s="71" customFormat="1" ht="36" outlineLevel="1">
      <c r="A24" s="82"/>
      <c r="B24" s="82"/>
      <c r="C24" s="82"/>
      <c r="D24" s="82"/>
      <c r="E24" s="1081"/>
      <c r="F24" s="1082"/>
      <c r="G24" s="338" t="s">
        <v>374</v>
      </c>
      <c r="H24" s="339" t="s">
        <v>174</v>
      </c>
      <c r="I24" s="340" t="s">
        <v>168</v>
      </c>
      <c r="J24" s="341">
        <f>VLOOKUP($G24,Supermarket!$D$10:$K$30,8,FALSE)</f>
        <v>58000</v>
      </c>
      <c r="K24" s="341"/>
      <c r="L24" s="341"/>
      <c r="M24" s="340"/>
      <c r="N24" s="341">
        <f>+VLOOKUP($G24,PharmacyL!$D$10:$K$194,8,FALSE)</f>
        <v>0</v>
      </c>
      <c r="O24" s="341"/>
      <c r="P24" s="341"/>
      <c r="Q24" s="340"/>
      <c r="R24" s="341">
        <f>+VLOOKUP($G24,PharmacyS!$D$10:$K$195,8,FALSE)</f>
        <v>0</v>
      </c>
      <c r="S24" s="341"/>
      <c r="T24" s="341"/>
      <c r="U24" s="340"/>
      <c r="V24" s="341">
        <f>+VLOOKUP($G24,HealthCare!$D$10:$K$195,8,FALSE)</f>
        <v>0</v>
      </c>
      <c r="W24" s="341"/>
      <c r="X24" s="341"/>
      <c r="Y24" s="340"/>
      <c r="Z24" s="341">
        <f>+VLOOKUP($G24,Restaurant!$D$10:$K$194,8,FALSE)</f>
        <v>0</v>
      </c>
      <c r="AA24" s="341"/>
      <c r="AB24" s="341"/>
      <c r="AC24" s="340"/>
      <c r="AD24" s="341">
        <f>+VLOOKUP($G24,GenRetL!$D$10:$K$194,8,FALSE)</f>
        <v>0</v>
      </c>
      <c r="AE24" s="341"/>
      <c r="AF24" s="341"/>
      <c r="AG24" s="340"/>
      <c r="AH24" s="341">
        <f>+VLOOKUP($G24,GenRetS!$D$10:$K$195,8,FALSE)</f>
        <v>0</v>
      </c>
      <c r="AI24" s="341"/>
      <c r="AJ24" s="341"/>
      <c r="AK24" s="340"/>
      <c r="AL24" s="341">
        <f>+VLOOKUP($G24,Laundr!$D$10:$K$195,8,FALSE)</f>
        <v>0</v>
      </c>
      <c r="AM24" s="341"/>
      <c r="AN24" s="341"/>
      <c r="AO24" s="342"/>
      <c r="AP24" s="342"/>
    </row>
    <row r="25" spans="1:42" s="71" customFormat="1" ht="12" outlineLevel="1">
      <c r="A25" s="82"/>
      <c r="B25" s="82"/>
      <c r="C25" s="82"/>
      <c r="D25" s="82"/>
      <c r="E25" s="1081"/>
      <c r="F25" s="1082"/>
      <c r="G25" s="338" t="s">
        <v>375</v>
      </c>
      <c r="H25" s="339"/>
      <c r="I25" s="340" t="s">
        <v>169</v>
      </c>
      <c r="J25" s="341"/>
      <c r="K25" s="341">
        <f>VLOOKUP($G25,Supermarket!$D$10:$K$30,8,FALSE)</f>
        <v>5000</v>
      </c>
      <c r="L25" s="341"/>
      <c r="M25" s="340"/>
      <c r="N25" s="341"/>
      <c r="O25" s="341">
        <f>+VLOOKUP($G25,PharmacyL!$D$10:$K$194,8,FALSE)</f>
        <v>0</v>
      </c>
      <c r="P25" s="341"/>
      <c r="Q25" s="340"/>
      <c r="R25" s="341"/>
      <c r="S25" s="341">
        <f>+VLOOKUP($G25,PharmacyS!$D$10:$K$195,8,FALSE)</f>
        <v>0</v>
      </c>
      <c r="T25" s="341"/>
      <c r="U25" s="340"/>
      <c r="V25" s="341"/>
      <c r="W25" s="341">
        <f>+VLOOKUP($G25,HealthCare!$D$10:$K$195,8,FALSE)</f>
        <v>0</v>
      </c>
      <c r="X25" s="341"/>
      <c r="Y25" s="340"/>
      <c r="Z25" s="341"/>
      <c r="AA25" s="341">
        <f>+VLOOKUP($G25,Restaurant!$D$10:$K$194,8,FALSE)</f>
        <v>0</v>
      </c>
      <c r="AB25" s="341"/>
      <c r="AC25" s="340"/>
      <c r="AD25" s="341"/>
      <c r="AE25" s="341">
        <f>+VLOOKUP($G25,GenRetL!$D$10:$K$194,8,FALSE)</f>
        <v>0</v>
      </c>
      <c r="AF25" s="341"/>
      <c r="AG25" s="340"/>
      <c r="AH25" s="341"/>
      <c r="AI25" s="341">
        <f>+VLOOKUP($G25,GenRetS!$D$10:$K$195,8,FALSE)</f>
        <v>0</v>
      </c>
      <c r="AJ25" s="341"/>
      <c r="AK25" s="340"/>
      <c r="AL25" s="341"/>
      <c r="AM25" s="341">
        <f>+VLOOKUP($G25,Laundr!$D$10:$K$195,8,FALSE)</f>
        <v>0</v>
      </c>
      <c r="AN25" s="341"/>
      <c r="AO25" s="342"/>
      <c r="AP25" s="342"/>
    </row>
    <row r="26" spans="1:42" s="71" customFormat="1" ht="12" outlineLevel="1">
      <c r="A26" s="82"/>
      <c r="B26" s="82"/>
      <c r="C26" s="82"/>
      <c r="D26" s="82"/>
      <c r="E26" s="1083"/>
      <c r="F26" s="1084"/>
      <c r="G26" s="338" t="s">
        <v>376</v>
      </c>
      <c r="H26" s="343"/>
      <c r="I26" s="340"/>
      <c r="J26" s="341"/>
      <c r="K26" s="341"/>
      <c r="L26" s="341"/>
      <c r="M26" s="340"/>
      <c r="N26" s="341"/>
      <c r="O26" s="341"/>
      <c r="P26" s="341"/>
      <c r="Q26" s="340"/>
      <c r="R26" s="341"/>
      <c r="S26" s="341"/>
      <c r="T26" s="341"/>
      <c r="U26" s="340"/>
      <c r="V26" s="341"/>
      <c r="W26" s="341"/>
      <c r="X26" s="341"/>
      <c r="Y26" s="340"/>
      <c r="Z26" s="341"/>
      <c r="AA26" s="341"/>
      <c r="AB26" s="341"/>
      <c r="AC26" s="340"/>
      <c r="AD26" s="341"/>
      <c r="AE26" s="341"/>
      <c r="AF26" s="341"/>
      <c r="AG26" s="340"/>
      <c r="AH26" s="341"/>
      <c r="AI26" s="341"/>
      <c r="AJ26" s="341"/>
      <c r="AK26" s="340"/>
      <c r="AL26" s="341"/>
      <c r="AM26" s="341"/>
      <c r="AN26" s="341"/>
      <c r="AO26" s="342"/>
      <c r="AP26" s="342"/>
    </row>
    <row r="27" spans="1:42" s="81" customFormat="1" ht="12" outlineLevel="1" collapsed="1">
      <c r="A27" s="80"/>
      <c r="B27" s="80"/>
      <c r="C27" s="80"/>
      <c r="D27" s="80"/>
      <c r="E27" s="1079" t="s">
        <v>8</v>
      </c>
      <c r="F27" s="1080"/>
      <c r="G27" s="1130" t="s">
        <v>3</v>
      </c>
      <c r="H27" s="1131"/>
      <c r="I27" s="335"/>
      <c r="J27" s="336"/>
      <c r="K27" s="336"/>
      <c r="L27" s="336"/>
      <c r="M27" s="335"/>
      <c r="N27" s="336"/>
      <c r="O27" s="336"/>
      <c r="P27" s="341"/>
      <c r="Q27" s="335"/>
      <c r="R27" s="336"/>
      <c r="S27" s="336"/>
      <c r="T27" s="336"/>
      <c r="U27" s="335"/>
      <c r="V27" s="336"/>
      <c r="W27" s="336"/>
      <c r="X27" s="336"/>
      <c r="Y27" s="335"/>
      <c r="Z27" s="336"/>
      <c r="AA27" s="336"/>
      <c r="AB27" s="336"/>
      <c r="AC27" s="335"/>
      <c r="AD27" s="336"/>
      <c r="AE27" s="336"/>
      <c r="AF27" s="336"/>
      <c r="AG27" s="335"/>
      <c r="AH27" s="336"/>
      <c r="AI27" s="336"/>
      <c r="AJ27" s="336"/>
      <c r="AK27" s="335"/>
      <c r="AL27" s="336"/>
      <c r="AM27" s="336"/>
      <c r="AN27" s="341"/>
      <c r="AO27" s="337"/>
      <c r="AP27" s="337"/>
    </row>
    <row r="28" spans="1:42" s="71" customFormat="1" ht="24" outlineLevel="1">
      <c r="A28" s="82"/>
      <c r="B28" s="82"/>
      <c r="C28" s="82"/>
      <c r="D28" s="82"/>
      <c r="E28" s="1081"/>
      <c r="F28" s="1082"/>
      <c r="G28" s="338" t="s">
        <v>377</v>
      </c>
      <c r="H28" s="339" t="s">
        <v>174</v>
      </c>
      <c r="I28" s="340" t="s">
        <v>171</v>
      </c>
      <c r="J28" s="341">
        <f>VLOOKUP($G28,Supermarket!$D$10:$K$30,8,FALSE)</f>
        <v>12500</v>
      </c>
      <c r="K28" s="341"/>
      <c r="L28" s="341"/>
      <c r="M28" s="340" t="s">
        <v>171</v>
      </c>
      <c r="N28" s="341">
        <f>+VLOOKUP($G28,PharmacyL!$D$10:$K$194,8,FALSE)</f>
        <v>12500</v>
      </c>
      <c r="O28" s="341"/>
      <c r="P28" s="341"/>
      <c r="Q28" s="340" t="s">
        <v>171</v>
      </c>
      <c r="R28" s="341">
        <f>+VLOOKUP($G28,PharmacyS!$D$10:$K$195,8,FALSE)</f>
        <v>12500</v>
      </c>
      <c r="S28" s="341"/>
      <c r="T28" s="341"/>
      <c r="U28" s="340" t="s">
        <v>171</v>
      </c>
      <c r="V28" s="341">
        <f>+VLOOKUP($G28,HealthCare!$D$10:$K$195,8,FALSE)</f>
        <v>12500</v>
      </c>
      <c r="W28" s="341"/>
      <c r="X28" s="341"/>
      <c r="Y28" s="340" t="s">
        <v>171</v>
      </c>
      <c r="Z28" s="341">
        <f>+VLOOKUP($G28,Restaurant!$D$10:$K$194,8,FALSE)</f>
        <v>12500</v>
      </c>
      <c r="AA28" s="341"/>
      <c r="AB28" s="341"/>
      <c r="AC28" s="340" t="s">
        <v>171</v>
      </c>
      <c r="AD28" s="341">
        <f>+VLOOKUP($G28,GenRetL!$D$10:$K$194,8,FALSE)</f>
        <v>12500</v>
      </c>
      <c r="AE28" s="341"/>
      <c r="AF28" s="341"/>
      <c r="AG28" s="340" t="s">
        <v>171</v>
      </c>
      <c r="AH28" s="341">
        <f>+VLOOKUP($G28,GenRetS!$D$10:$K$195,8,FALSE)</f>
        <v>12500</v>
      </c>
      <c r="AI28" s="341"/>
      <c r="AJ28" s="341"/>
      <c r="AK28" s="340" t="s">
        <v>171</v>
      </c>
      <c r="AL28" s="341">
        <f>+VLOOKUP($G28,Laundr!$D$10:$K$195,8,FALSE)</f>
        <v>12500</v>
      </c>
      <c r="AM28" s="341"/>
      <c r="AN28" s="341"/>
      <c r="AO28" s="342"/>
      <c r="AP28" s="342"/>
    </row>
    <row r="29" spans="1:42" s="71" customFormat="1" ht="36" outlineLevel="1">
      <c r="A29" s="82"/>
      <c r="B29" s="82"/>
      <c r="C29" s="82"/>
      <c r="D29" s="82"/>
      <c r="E29" s="1081"/>
      <c r="F29" s="1082"/>
      <c r="G29" s="338" t="s">
        <v>378</v>
      </c>
      <c r="H29" s="339"/>
      <c r="I29" s="340" t="s">
        <v>170</v>
      </c>
      <c r="J29" s="341"/>
      <c r="K29" s="341">
        <f>VLOOKUP($G29,Supermarket!$D$10:$K$30,8,FALSE)</f>
        <v>96000</v>
      </c>
      <c r="L29" s="341"/>
      <c r="M29" s="340" t="s">
        <v>170</v>
      </c>
      <c r="N29" s="341"/>
      <c r="O29" s="341">
        <f>+VLOOKUP($G29,PharmacyL!$D$10:$K$194,8,FALSE)</f>
        <v>96000</v>
      </c>
      <c r="P29" s="341"/>
      <c r="Q29" s="340" t="s">
        <v>170</v>
      </c>
      <c r="R29" s="341"/>
      <c r="S29" s="341">
        <f>+VLOOKUP($G29,PharmacyS!$D$10:$K$195,8,FALSE)</f>
        <v>48000</v>
      </c>
      <c r="T29" s="341"/>
      <c r="U29" s="340" t="s">
        <v>170</v>
      </c>
      <c r="V29" s="341"/>
      <c r="W29" s="341">
        <f>+VLOOKUP($G29,HealthCare!$D$10:$K$195,8,FALSE)</f>
        <v>32000</v>
      </c>
      <c r="X29" s="341"/>
      <c r="Y29" s="340" t="s">
        <v>170</v>
      </c>
      <c r="Z29" s="341"/>
      <c r="AA29" s="341">
        <f>+VLOOKUP($G29,Restaurant!$D$10:$K$194,8,FALSE)</f>
        <v>64000</v>
      </c>
      <c r="AB29" s="341"/>
      <c r="AC29" s="340" t="s">
        <v>170</v>
      </c>
      <c r="AD29" s="341"/>
      <c r="AE29" s="341">
        <f>+VLOOKUP($G29,GenRetL!$D$10:$K$194,8,FALSE)</f>
        <v>32000</v>
      </c>
      <c r="AF29" s="341"/>
      <c r="AG29" s="340" t="s">
        <v>170</v>
      </c>
      <c r="AH29" s="341"/>
      <c r="AI29" s="341">
        <f>+VLOOKUP($G29,GenRetS!$D$10:$K$195,8,FALSE)</f>
        <v>16000</v>
      </c>
      <c r="AJ29" s="341"/>
      <c r="AK29" s="340" t="s">
        <v>170</v>
      </c>
      <c r="AL29" s="341"/>
      <c r="AM29" s="341">
        <f>+VLOOKUP($G29,Laundr!$D$10:$K$195,8,FALSE)</f>
        <v>32000</v>
      </c>
      <c r="AN29" s="341"/>
      <c r="AO29" s="342"/>
      <c r="AP29" s="337" t="s">
        <v>213</v>
      </c>
    </row>
    <row r="30" spans="1:42" s="71" customFormat="1" ht="12" outlineLevel="1">
      <c r="A30" s="82"/>
      <c r="B30" s="82"/>
      <c r="C30" s="82"/>
      <c r="D30" s="82"/>
      <c r="E30" s="1083"/>
      <c r="F30" s="1084"/>
      <c r="G30" s="338" t="s">
        <v>379</v>
      </c>
      <c r="H30" s="339"/>
      <c r="I30" s="340" t="s">
        <v>170</v>
      </c>
      <c r="J30" s="341"/>
      <c r="K30" s="341"/>
      <c r="L30" s="341">
        <f>VLOOKUP($G30,Supermarket!$D$10:$K$30,8,FALSE)</f>
        <v>0</v>
      </c>
      <c r="M30" s="340" t="s">
        <v>170</v>
      </c>
      <c r="N30" s="341"/>
      <c r="O30" s="341"/>
      <c r="P30" s="341">
        <f>+VLOOKUP($G30,PharmacyL!$D$10:$K$194,8,FALSE)</f>
        <v>0</v>
      </c>
      <c r="Q30" s="340" t="s">
        <v>170</v>
      </c>
      <c r="R30" s="341"/>
      <c r="S30" s="341"/>
      <c r="T30" s="341">
        <f>+VLOOKUP($G30,PharmacyS!$D$10:$K$195,8,FALSE)</f>
        <v>0</v>
      </c>
      <c r="U30" s="340" t="s">
        <v>170</v>
      </c>
      <c r="V30" s="341"/>
      <c r="W30" s="341"/>
      <c r="X30" s="341">
        <f>+VLOOKUP($G30,HealthCare!$D$10:$K$195,8,FALSE)</f>
        <v>0</v>
      </c>
      <c r="Y30" s="340" t="s">
        <v>170</v>
      </c>
      <c r="Z30" s="341"/>
      <c r="AA30" s="341"/>
      <c r="AB30" s="341">
        <f>+VLOOKUP($G30,Restaurant!$D$10:$K$194,8,FALSE)</f>
        <v>0</v>
      </c>
      <c r="AC30" s="340" t="s">
        <v>170</v>
      </c>
      <c r="AD30" s="341"/>
      <c r="AE30" s="341"/>
      <c r="AF30" s="341">
        <f>+VLOOKUP($G30,GenRetL!$D$10:$K$194,8,FALSE)</f>
        <v>0</v>
      </c>
      <c r="AG30" s="340" t="s">
        <v>170</v>
      </c>
      <c r="AH30" s="341"/>
      <c r="AI30" s="341"/>
      <c r="AJ30" s="341">
        <f>+VLOOKUP($G30,GenRetS!$D$10:$K$195,8,FALSE)</f>
        <v>0</v>
      </c>
      <c r="AK30" s="340" t="s">
        <v>170</v>
      </c>
      <c r="AL30" s="341"/>
      <c r="AM30" s="341"/>
      <c r="AN30" s="341">
        <f>+VLOOKUP($G30,Laundr!$D$10:$K$195,8,FALSE)</f>
        <v>0</v>
      </c>
      <c r="AO30" s="342"/>
      <c r="AP30" s="342"/>
    </row>
    <row r="31" spans="1:42" s="85" customFormat="1" ht="12">
      <c r="A31" s="84"/>
      <c r="B31" s="84"/>
      <c r="C31" s="84"/>
      <c r="D31" s="84"/>
      <c r="E31" s="334">
        <v>1.2</v>
      </c>
      <c r="F31" s="1108" t="s">
        <v>4</v>
      </c>
      <c r="G31" s="1109"/>
      <c r="H31" s="1110"/>
      <c r="I31" s="340"/>
      <c r="J31" s="341"/>
      <c r="K31" s="341"/>
      <c r="L31" s="341"/>
      <c r="M31" s="340"/>
      <c r="N31" s="341"/>
      <c r="O31" s="341"/>
      <c r="P31" s="341"/>
      <c r="Q31" s="340"/>
      <c r="R31" s="341"/>
      <c r="S31" s="341"/>
      <c r="T31" s="341"/>
      <c r="U31" s="340"/>
      <c r="V31" s="341"/>
      <c r="W31" s="341"/>
      <c r="X31" s="341"/>
      <c r="Y31" s="340"/>
      <c r="Z31" s="341"/>
      <c r="AA31" s="341"/>
      <c r="AB31" s="341"/>
      <c r="AC31" s="340"/>
      <c r="AD31" s="341"/>
      <c r="AE31" s="341"/>
      <c r="AF31" s="341"/>
      <c r="AG31" s="340"/>
      <c r="AH31" s="341"/>
      <c r="AI31" s="341"/>
      <c r="AJ31" s="341"/>
      <c r="AK31" s="340"/>
      <c r="AL31" s="341"/>
      <c r="AM31" s="341"/>
      <c r="AN31" s="341"/>
      <c r="AO31" s="342"/>
      <c r="AP31" s="342"/>
    </row>
    <row r="32" spans="1:42" s="71" customFormat="1" ht="12" outlineLevel="1">
      <c r="A32" s="82"/>
      <c r="B32" s="82"/>
      <c r="C32" s="82"/>
      <c r="D32" s="82"/>
      <c r="E32" s="1079" t="s">
        <v>5</v>
      </c>
      <c r="F32" s="1080"/>
      <c r="G32" s="1085" t="s">
        <v>29</v>
      </c>
      <c r="H32" s="1086"/>
      <c r="I32" s="340"/>
      <c r="J32" s="341"/>
      <c r="K32" s="341"/>
      <c r="L32" s="341"/>
      <c r="M32" s="340"/>
      <c r="N32" s="341"/>
      <c r="O32" s="341"/>
      <c r="P32" s="341"/>
      <c r="Q32" s="340"/>
      <c r="R32" s="341"/>
      <c r="S32" s="341"/>
      <c r="T32" s="341"/>
      <c r="U32" s="340"/>
      <c r="V32" s="341"/>
      <c r="W32" s="341"/>
      <c r="X32" s="341"/>
      <c r="Y32" s="340"/>
      <c r="Z32" s="341"/>
      <c r="AA32" s="341"/>
      <c r="AB32" s="341"/>
      <c r="AC32" s="340"/>
      <c r="AD32" s="341"/>
      <c r="AE32" s="341"/>
      <c r="AF32" s="341"/>
      <c r="AG32" s="340"/>
      <c r="AH32" s="341"/>
      <c r="AI32" s="341"/>
      <c r="AJ32" s="341"/>
      <c r="AK32" s="340"/>
      <c r="AL32" s="341"/>
      <c r="AM32" s="341"/>
      <c r="AN32" s="341"/>
      <c r="AO32" s="342"/>
      <c r="AP32" s="342"/>
    </row>
    <row r="33" spans="1:42" s="71" customFormat="1" ht="36" outlineLevel="1">
      <c r="A33" s="82"/>
      <c r="B33" s="82"/>
      <c r="C33" s="82"/>
      <c r="D33" s="82"/>
      <c r="E33" s="1081"/>
      <c r="F33" s="1082"/>
      <c r="G33" s="338" t="s">
        <v>381</v>
      </c>
      <c r="H33" s="339" t="s">
        <v>174</v>
      </c>
      <c r="I33" s="340" t="s">
        <v>270</v>
      </c>
      <c r="J33" s="341">
        <f>VLOOKUP($G33,Supermarket!$D$32:$K$51,8,FALSE)</f>
        <v>100500</v>
      </c>
      <c r="K33" s="341"/>
      <c r="L33" s="341"/>
      <c r="M33" s="340" t="s">
        <v>271</v>
      </c>
      <c r="N33" s="341">
        <f>+VLOOKUP($G33,PharmacyL!$D$10:$K$194,8,FALSE)</f>
        <v>106500</v>
      </c>
      <c r="O33" s="341"/>
      <c r="P33" s="341"/>
      <c r="Q33" s="340" t="s">
        <v>272</v>
      </c>
      <c r="R33" s="341">
        <f>+VLOOKUP($G33,PharmacyS!$D$10:$K$195,8,FALSE)</f>
        <v>100500</v>
      </c>
      <c r="S33" s="341"/>
      <c r="T33" s="341"/>
      <c r="U33" s="340" t="s">
        <v>273</v>
      </c>
      <c r="V33" s="341">
        <f>+VLOOKUP($G33,HealthCare!$D$10:$K$195,8,FALSE)</f>
        <v>94500</v>
      </c>
      <c r="W33" s="341"/>
      <c r="X33" s="341"/>
      <c r="Y33" s="340" t="s">
        <v>274</v>
      </c>
      <c r="Z33" s="341">
        <f>+VLOOKUP($G33,Restaurant!$D$10:$K$194,8,FALSE)</f>
        <v>94500</v>
      </c>
      <c r="AA33" s="341"/>
      <c r="AB33" s="341"/>
      <c r="AC33" s="340" t="s">
        <v>275</v>
      </c>
      <c r="AD33" s="341">
        <f>+VLOOKUP($G33,GenRetL!$D$10:$K$194,8,FALSE)</f>
        <v>94500</v>
      </c>
      <c r="AE33" s="341"/>
      <c r="AF33" s="341"/>
      <c r="AG33" s="340" t="s">
        <v>276</v>
      </c>
      <c r="AH33" s="341">
        <f>+VLOOKUP($G33,GenRetS!$D$10:$K$195,8,FALSE)</f>
        <v>85500</v>
      </c>
      <c r="AI33" s="341"/>
      <c r="AJ33" s="341"/>
      <c r="AK33" s="340" t="s">
        <v>276</v>
      </c>
      <c r="AL33" s="341">
        <f>+VLOOKUP($G33,Laundr!$D$10:$K$195,8,FALSE)</f>
        <v>85500</v>
      </c>
      <c r="AM33" s="341"/>
      <c r="AN33" s="341"/>
      <c r="AO33" s="342"/>
      <c r="AP33" s="342"/>
    </row>
    <row r="34" spans="1:42" s="71" customFormat="1" ht="12" outlineLevel="1">
      <c r="A34" s="82"/>
      <c r="B34" s="82"/>
      <c r="C34" s="82"/>
      <c r="D34" s="82"/>
      <c r="E34" s="1081"/>
      <c r="F34" s="1082"/>
      <c r="G34" s="338" t="s">
        <v>382</v>
      </c>
      <c r="H34" s="339"/>
      <c r="I34" s="340" t="s">
        <v>88</v>
      </c>
      <c r="J34" s="341"/>
      <c r="K34" s="341"/>
      <c r="L34" s="341"/>
      <c r="M34" s="340" t="s">
        <v>88</v>
      </c>
      <c r="N34" s="341"/>
      <c r="O34" s="341">
        <f>+VLOOKUP($G34,PharmacyL!$D$10:$K$194,8,FALSE)</f>
        <v>0</v>
      </c>
      <c r="P34" s="341"/>
      <c r="Q34" s="340" t="s">
        <v>88</v>
      </c>
      <c r="R34" s="341"/>
      <c r="S34" s="341">
        <f>+VLOOKUP($G34,PharmacyS!$D$10:$K$195,8,FALSE)</f>
        <v>0</v>
      </c>
      <c r="T34" s="341"/>
      <c r="U34" s="340" t="s">
        <v>88</v>
      </c>
      <c r="V34" s="341"/>
      <c r="W34" s="341">
        <f>+VLOOKUP($G34,HealthCare!$D$10:$K$195,8,FALSE)</f>
        <v>0</v>
      </c>
      <c r="X34" s="341"/>
      <c r="Y34" s="340" t="s">
        <v>88</v>
      </c>
      <c r="Z34" s="341"/>
      <c r="AA34" s="341">
        <f>+VLOOKUP($G34,Restaurant!$D$10:$K$194,8,FALSE)</f>
        <v>0</v>
      </c>
      <c r="AB34" s="341"/>
      <c r="AC34" s="340" t="s">
        <v>88</v>
      </c>
      <c r="AD34" s="341"/>
      <c r="AE34" s="341">
        <f>+VLOOKUP($G34,GenRetL!$D$10:$K$194,8,FALSE)</f>
        <v>0</v>
      </c>
      <c r="AF34" s="341"/>
      <c r="AG34" s="340" t="s">
        <v>88</v>
      </c>
      <c r="AH34" s="341"/>
      <c r="AI34" s="341">
        <f>+VLOOKUP($G34,GenRetS!$D$10:$K$195,8,FALSE)</f>
        <v>0</v>
      </c>
      <c r="AJ34" s="341"/>
      <c r="AK34" s="340" t="s">
        <v>88</v>
      </c>
      <c r="AL34" s="341"/>
      <c r="AM34" s="341">
        <f>+VLOOKUP($G34,Laundr!$D$10:$K$195,8,FALSE)</f>
        <v>0</v>
      </c>
      <c r="AN34" s="341"/>
      <c r="AO34" s="342"/>
      <c r="AP34" s="342"/>
    </row>
    <row r="35" spans="1:42" s="71" customFormat="1" ht="12" outlineLevel="1">
      <c r="A35" s="82"/>
      <c r="B35" s="82"/>
      <c r="C35" s="82"/>
      <c r="D35" s="82"/>
      <c r="E35" s="1083"/>
      <c r="F35" s="1084"/>
      <c r="G35" s="338" t="s">
        <v>383</v>
      </c>
      <c r="H35" s="339"/>
      <c r="I35" s="340" t="s">
        <v>173</v>
      </c>
      <c r="J35" s="341"/>
      <c r="K35" s="341"/>
      <c r="L35" s="341">
        <f>VLOOKUP($G35,Supermarket!$D$32:$K$51,8,FALSE)</f>
        <v>0</v>
      </c>
      <c r="M35" s="340" t="s">
        <v>173</v>
      </c>
      <c r="N35" s="341"/>
      <c r="O35" s="341"/>
      <c r="P35" s="341">
        <f>+VLOOKUP($G35,PharmacyL!$D$10:$K$194,8,FALSE)</f>
        <v>0</v>
      </c>
      <c r="Q35" s="340" t="s">
        <v>173</v>
      </c>
      <c r="R35" s="341"/>
      <c r="S35" s="341"/>
      <c r="T35" s="341">
        <f>+VLOOKUP($G35,PharmacyS!$D$10:$K$195,8,FALSE)</f>
        <v>0</v>
      </c>
      <c r="U35" s="340" t="s">
        <v>173</v>
      </c>
      <c r="V35" s="341"/>
      <c r="W35" s="341"/>
      <c r="X35" s="341">
        <f>+VLOOKUP($G35,HealthCare!$D$10:$K$195,8,FALSE)</f>
        <v>0</v>
      </c>
      <c r="Y35" s="340" t="s">
        <v>173</v>
      </c>
      <c r="Z35" s="341"/>
      <c r="AA35" s="341"/>
      <c r="AB35" s="341">
        <f>+VLOOKUP($G35,Restaurant!$D$10:$K$194,8,FALSE)</f>
        <v>0</v>
      </c>
      <c r="AC35" s="340" t="s">
        <v>173</v>
      </c>
      <c r="AD35" s="341"/>
      <c r="AE35" s="341"/>
      <c r="AF35" s="341">
        <f>+VLOOKUP($G35,GenRetL!$D$10:$K$194,8,FALSE)</f>
        <v>0</v>
      </c>
      <c r="AG35" s="340" t="s">
        <v>173</v>
      </c>
      <c r="AH35" s="341"/>
      <c r="AI35" s="341"/>
      <c r="AJ35" s="341">
        <f>+VLOOKUP($G35,GenRetS!$D$10:$K$195,8,FALSE)</f>
        <v>0</v>
      </c>
      <c r="AK35" s="340" t="s">
        <v>173</v>
      </c>
      <c r="AL35" s="341"/>
      <c r="AM35" s="341"/>
      <c r="AN35" s="341">
        <f>+VLOOKUP($G35,Laundr!$D$10:$K$195,8,FALSE)</f>
        <v>0</v>
      </c>
      <c r="AO35" s="342"/>
      <c r="AP35" s="342"/>
    </row>
    <row r="36" spans="1:42" s="71" customFormat="1" ht="12" outlineLevel="1">
      <c r="A36" s="82"/>
      <c r="B36" s="82"/>
      <c r="C36" s="82"/>
      <c r="D36" s="82"/>
      <c r="E36" s="1079" t="s">
        <v>6</v>
      </c>
      <c r="F36" s="1080"/>
      <c r="G36" s="1085" t="s">
        <v>9</v>
      </c>
      <c r="H36" s="1086"/>
      <c r="I36" s="340"/>
      <c r="J36" s="341"/>
      <c r="K36" s="341"/>
      <c r="L36" s="341"/>
      <c r="M36" s="340"/>
      <c r="N36" s="341"/>
      <c r="O36" s="341"/>
      <c r="P36" s="341"/>
      <c r="Q36" s="340"/>
      <c r="R36" s="341"/>
      <c r="S36" s="341"/>
      <c r="T36" s="341"/>
      <c r="U36" s="340"/>
      <c r="V36" s="341"/>
      <c r="W36" s="341"/>
      <c r="X36" s="341"/>
      <c r="Y36" s="340"/>
      <c r="Z36" s="341"/>
      <c r="AA36" s="341"/>
      <c r="AB36" s="341"/>
      <c r="AC36" s="340"/>
      <c r="AD36" s="341"/>
      <c r="AE36" s="341"/>
      <c r="AF36" s="341"/>
      <c r="AG36" s="340"/>
      <c r="AH36" s="341"/>
      <c r="AI36" s="341"/>
      <c r="AJ36" s="341"/>
      <c r="AK36" s="340"/>
      <c r="AL36" s="341"/>
      <c r="AM36" s="341"/>
      <c r="AN36" s="341"/>
      <c r="AO36" s="342"/>
      <c r="AP36" s="342"/>
    </row>
    <row r="37" spans="1:42" s="71" customFormat="1" ht="36" outlineLevel="1">
      <c r="A37" s="82"/>
      <c r="B37" s="82"/>
      <c r="C37" s="82"/>
      <c r="D37" s="82"/>
      <c r="E37" s="1081"/>
      <c r="F37" s="1082"/>
      <c r="G37" s="338" t="s">
        <v>384</v>
      </c>
      <c r="H37" s="339" t="s">
        <v>174</v>
      </c>
      <c r="I37" s="340" t="s">
        <v>263</v>
      </c>
      <c r="J37" s="341">
        <f>VLOOKUP($G37,Supermarket!$D$32:$K$51,8,FALSE)</f>
        <v>75000</v>
      </c>
      <c r="K37" s="341"/>
      <c r="L37" s="341"/>
      <c r="M37" s="340" t="s">
        <v>264</v>
      </c>
      <c r="N37" s="341">
        <f>+VLOOKUP($G37,PharmacyL!$D$10:$K$194,8,FALSE)</f>
        <v>96000</v>
      </c>
      <c r="O37" s="341"/>
      <c r="P37" s="341"/>
      <c r="Q37" s="340" t="s">
        <v>265</v>
      </c>
      <c r="R37" s="341">
        <f>+VLOOKUP($G37,PharmacyS!$D$10:$K$195,8,FALSE)</f>
        <v>75000</v>
      </c>
      <c r="S37" s="341"/>
      <c r="T37" s="341"/>
      <c r="U37" s="340" t="s">
        <v>266</v>
      </c>
      <c r="V37" s="341">
        <f>+VLOOKUP($G37,HealthCare!$D$10:$K$195,8,FALSE)</f>
        <v>63000</v>
      </c>
      <c r="W37" s="341"/>
      <c r="X37" s="341"/>
      <c r="Y37" s="340" t="s">
        <v>267</v>
      </c>
      <c r="Z37" s="341">
        <f>+VLOOKUP($G37,Restaurant!$D$10:$K$194,8,FALSE)</f>
        <v>69000</v>
      </c>
      <c r="AA37" s="341"/>
      <c r="AB37" s="341"/>
      <c r="AC37" s="340" t="s">
        <v>268</v>
      </c>
      <c r="AD37" s="341"/>
      <c r="AE37" s="341"/>
      <c r="AF37" s="341"/>
      <c r="AG37" s="340" t="s">
        <v>269</v>
      </c>
      <c r="AH37" s="341">
        <f>+VLOOKUP($G37,GenRetS!$D$10:$K$195,8,FALSE)</f>
        <v>54000</v>
      </c>
      <c r="AI37" s="341"/>
      <c r="AJ37" s="341"/>
      <c r="AK37" s="340" t="s">
        <v>269</v>
      </c>
      <c r="AL37" s="341">
        <f>+VLOOKUP($G37,Laundr!$D$10:$K$195,8,FALSE)</f>
        <v>54000</v>
      </c>
      <c r="AM37" s="341"/>
      <c r="AN37" s="341"/>
      <c r="AO37" s="342"/>
      <c r="AP37" s="342"/>
    </row>
    <row r="38" spans="1:42" s="71" customFormat="1" ht="12" outlineLevel="1">
      <c r="A38" s="82"/>
      <c r="B38" s="82"/>
      <c r="C38" s="82"/>
      <c r="D38" s="82"/>
      <c r="E38" s="1081"/>
      <c r="F38" s="1082"/>
      <c r="G38" s="338" t="s">
        <v>385</v>
      </c>
      <c r="H38" s="339"/>
      <c r="I38" s="340" t="s">
        <v>88</v>
      </c>
      <c r="J38" s="341"/>
      <c r="K38" s="341">
        <f>VLOOKUP($G38,Supermarket!$D$32:$K$51,8,FALSE)</f>
        <v>0</v>
      </c>
      <c r="L38" s="341"/>
      <c r="M38" s="340" t="s">
        <v>88</v>
      </c>
      <c r="N38" s="341"/>
      <c r="O38" s="341">
        <f>+VLOOKUP($G38,PharmacyL!$D$10:$K$194,8,FALSE)</f>
        <v>0</v>
      </c>
      <c r="P38" s="341"/>
      <c r="Q38" s="340" t="s">
        <v>88</v>
      </c>
      <c r="R38" s="341"/>
      <c r="S38" s="341">
        <f>+VLOOKUP($G38,PharmacyS!$D$10:$K$195,8,FALSE)</f>
        <v>0</v>
      </c>
      <c r="T38" s="341"/>
      <c r="U38" s="340" t="s">
        <v>88</v>
      </c>
      <c r="V38" s="341"/>
      <c r="W38" s="341">
        <f>+VLOOKUP($G38,HealthCare!$D$10:$K$195,8,FALSE)</f>
        <v>0</v>
      </c>
      <c r="X38" s="341"/>
      <c r="Y38" s="340" t="s">
        <v>88</v>
      </c>
      <c r="Z38" s="341"/>
      <c r="AA38" s="341">
        <f>+VLOOKUP($G38,Restaurant!$D$10:$K$194,8,FALSE)</f>
        <v>0</v>
      </c>
      <c r="AB38" s="341"/>
      <c r="AC38" s="340" t="s">
        <v>88</v>
      </c>
      <c r="AD38" s="341"/>
      <c r="AE38" s="341">
        <f>+VLOOKUP($G38,GenRetL!$D$10:$K$194,8,FALSE)</f>
        <v>0</v>
      </c>
      <c r="AF38" s="341"/>
      <c r="AG38" s="340" t="s">
        <v>88</v>
      </c>
      <c r="AH38" s="341"/>
      <c r="AI38" s="341">
        <f>+VLOOKUP($G38,GenRetS!$D$10:$K$195,8,FALSE)</f>
        <v>0</v>
      </c>
      <c r="AJ38" s="341"/>
      <c r="AK38" s="340" t="s">
        <v>88</v>
      </c>
      <c r="AL38" s="341"/>
      <c r="AM38" s="341">
        <f>+VLOOKUP($G38,Laundr!$D$10:$K$195,8,FALSE)</f>
        <v>0</v>
      </c>
      <c r="AN38" s="341"/>
      <c r="AO38" s="342"/>
      <c r="AP38" s="342"/>
    </row>
    <row r="39" spans="1:42" s="71" customFormat="1" ht="12" outlineLevel="1">
      <c r="A39" s="82"/>
      <c r="B39" s="82"/>
      <c r="C39" s="82"/>
      <c r="D39" s="82"/>
      <c r="E39" s="1083"/>
      <c r="F39" s="1084"/>
      <c r="G39" s="338" t="s">
        <v>386</v>
      </c>
      <c r="H39" s="339"/>
      <c r="I39" s="340" t="s">
        <v>173</v>
      </c>
      <c r="J39" s="341"/>
      <c r="K39" s="341"/>
      <c r="L39" s="341">
        <f>VLOOKUP($G39,Supermarket!$D$32:$K$51,8,FALSE)</f>
        <v>0</v>
      </c>
      <c r="M39" s="340" t="s">
        <v>173</v>
      </c>
      <c r="N39" s="341"/>
      <c r="O39" s="341"/>
      <c r="P39" s="341">
        <f>+VLOOKUP($G39,PharmacyL!$D$10:$K$194,8,FALSE)</f>
        <v>0</v>
      </c>
      <c r="Q39" s="340" t="s">
        <v>173</v>
      </c>
      <c r="R39" s="341"/>
      <c r="S39" s="341"/>
      <c r="T39" s="341">
        <f>+VLOOKUP($G39,PharmacyS!$D$10:$K$195,8,FALSE)</f>
        <v>0</v>
      </c>
      <c r="U39" s="340" t="s">
        <v>173</v>
      </c>
      <c r="V39" s="341"/>
      <c r="W39" s="341"/>
      <c r="X39" s="341">
        <f>+VLOOKUP($G39,HealthCare!$D$10:$K$195,8,FALSE)</f>
        <v>0</v>
      </c>
      <c r="Y39" s="340" t="s">
        <v>173</v>
      </c>
      <c r="Z39" s="341"/>
      <c r="AA39" s="341"/>
      <c r="AB39" s="341">
        <f>+VLOOKUP($G39,Restaurant!$D$10:$K$194,8,FALSE)</f>
        <v>0</v>
      </c>
      <c r="AC39" s="340" t="s">
        <v>173</v>
      </c>
      <c r="AD39" s="341"/>
      <c r="AE39" s="341">
        <f>+VLOOKUP($G39,GenRetL!$D$10:$K$194,8,FALSE)</f>
        <v>0</v>
      </c>
      <c r="AF39" s="341">
        <f>+VLOOKUP($G39,GenRetL!$D$10:$K$194,8,FALSE)</f>
        <v>0</v>
      </c>
      <c r="AG39" s="340" t="s">
        <v>173</v>
      </c>
      <c r="AH39" s="341"/>
      <c r="AI39" s="341"/>
      <c r="AJ39" s="341">
        <f>+VLOOKUP($G39,GenRetS!$D$10:$K$195,8,FALSE)</f>
        <v>0</v>
      </c>
      <c r="AK39" s="340" t="s">
        <v>173</v>
      </c>
      <c r="AL39" s="341"/>
      <c r="AM39" s="341"/>
      <c r="AN39" s="341">
        <f>+VLOOKUP($G39,Laundr!$D$10:$K$195,8,FALSE)</f>
        <v>0</v>
      </c>
      <c r="AO39" s="342"/>
      <c r="AP39" s="342"/>
    </row>
    <row r="40" spans="1:42" s="71" customFormat="1" ht="12" outlineLevel="1">
      <c r="A40" s="82"/>
      <c r="B40" s="82"/>
      <c r="C40" s="82"/>
      <c r="D40" s="82"/>
      <c r="E40" s="1079" t="s">
        <v>7</v>
      </c>
      <c r="F40" s="1080"/>
      <c r="G40" s="1085" t="s">
        <v>30</v>
      </c>
      <c r="H40" s="1086"/>
      <c r="I40" s="340"/>
      <c r="J40" s="341"/>
      <c r="K40" s="341"/>
      <c r="L40" s="341"/>
      <c r="M40" s="340"/>
      <c r="N40" s="341"/>
      <c r="O40" s="341"/>
      <c r="P40" s="341"/>
      <c r="Q40" s="340"/>
      <c r="R40" s="341"/>
      <c r="S40" s="341"/>
      <c r="T40" s="341"/>
      <c r="U40" s="340"/>
      <c r="V40" s="341"/>
      <c r="W40" s="341"/>
      <c r="X40" s="341"/>
      <c r="Y40" s="340"/>
      <c r="Z40" s="341"/>
      <c r="AA40" s="341"/>
      <c r="AB40" s="341"/>
      <c r="AC40" s="340"/>
      <c r="AD40" s="341"/>
      <c r="AE40" s="341"/>
      <c r="AF40" s="341"/>
      <c r="AG40" s="340"/>
      <c r="AH40" s="341"/>
      <c r="AI40" s="341"/>
      <c r="AJ40" s="341"/>
      <c r="AK40" s="340"/>
      <c r="AL40" s="341"/>
      <c r="AM40" s="341"/>
      <c r="AN40" s="341"/>
      <c r="AO40" s="342"/>
      <c r="AP40" s="342"/>
    </row>
    <row r="41" spans="1:42" s="71" customFormat="1" ht="12" outlineLevel="1">
      <c r="A41" s="82"/>
      <c r="B41" s="82"/>
      <c r="C41" s="82"/>
      <c r="D41" s="82"/>
      <c r="E41" s="1081"/>
      <c r="F41" s="1082"/>
      <c r="G41" s="338" t="s">
        <v>387</v>
      </c>
      <c r="H41" s="339" t="s">
        <v>174</v>
      </c>
      <c r="I41" s="340" t="s">
        <v>277</v>
      </c>
      <c r="J41" s="341">
        <f>VLOOKUP($G41,Supermarket!$D$32:$K$51,8,FALSE)</f>
        <v>0</v>
      </c>
      <c r="K41" s="341"/>
      <c r="L41" s="341"/>
      <c r="M41" s="340" t="s">
        <v>277</v>
      </c>
      <c r="N41" s="341">
        <f>+VLOOKUP($G41,PharmacyL!$D$10:$K$194,8,FALSE)</f>
        <v>0</v>
      </c>
      <c r="O41" s="341"/>
      <c r="P41" s="341"/>
      <c r="Q41" s="340" t="s">
        <v>277</v>
      </c>
      <c r="R41" s="341">
        <f>+VLOOKUP($G41,PharmacyS!$D$10:$K$195,8,FALSE)</f>
        <v>0</v>
      </c>
      <c r="S41" s="341"/>
      <c r="T41" s="341"/>
      <c r="U41" s="340" t="s">
        <v>277</v>
      </c>
      <c r="V41" s="341">
        <f>+VLOOKUP($G41,HealthCare!$D$10:$K$195,8,FALSE)</f>
        <v>0</v>
      </c>
      <c r="W41" s="341"/>
      <c r="X41" s="341"/>
      <c r="Y41" s="340" t="s">
        <v>277</v>
      </c>
      <c r="Z41" s="341">
        <f>+VLOOKUP($G41,Restaurant!$D$10:$K$194,8,FALSE)</f>
        <v>0</v>
      </c>
      <c r="AA41" s="341"/>
      <c r="AB41" s="341"/>
      <c r="AC41" s="340" t="s">
        <v>277</v>
      </c>
      <c r="AD41" s="341">
        <f>+VLOOKUP($G41,GenRetL!$D$10:$K$194,8,FALSE)</f>
        <v>0</v>
      </c>
      <c r="AE41" s="341"/>
      <c r="AF41" s="341"/>
      <c r="AG41" s="340" t="s">
        <v>277</v>
      </c>
      <c r="AH41" s="341">
        <f>+VLOOKUP($G41,GenRetS!$D$10:$K$195,8,FALSE)</f>
        <v>0</v>
      </c>
      <c r="AI41" s="341"/>
      <c r="AJ41" s="341"/>
      <c r="AK41" s="340" t="s">
        <v>277</v>
      </c>
      <c r="AL41" s="341">
        <f>+VLOOKUP($G41,Laundr!$D$10:$K$195,8,FALSE)</f>
        <v>0</v>
      </c>
      <c r="AM41" s="341"/>
      <c r="AN41" s="341"/>
      <c r="AO41" s="342"/>
      <c r="AP41" s="342"/>
    </row>
    <row r="42" spans="1:42" s="71" customFormat="1" ht="24" outlineLevel="1">
      <c r="A42" s="82"/>
      <c r="B42" s="82"/>
      <c r="C42" s="82"/>
      <c r="D42" s="82"/>
      <c r="E42" s="1081"/>
      <c r="F42" s="1082"/>
      <c r="G42" s="338" t="s">
        <v>388</v>
      </c>
      <c r="H42" s="339"/>
      <c r="I42" s="340" t="s">
        <v>209</v>
      </c>
      <c r="J42" s="341"/>
      <c r="K42" s="341">
        <f>VLOOKUP($G42,Supermarket!$D$32:$K$51,8,FALSE)</f>
        <v>67500</v>
      </c>
      <c r="L42" s="341"/>
      <c r="M42" s="340" t="s">
        <v>209</v>
      </c>
      <c r="N42" s="341"/>
      <c r="O42" s="341">
        <f>+VLOOKUP($G42,PharmacyL!$D$10:$K$194,8,FALSE)</f>
        <v>67500</v>
      </c>
      <c r="P42" s="341"/>
      <c r="Q42" s="340" t="s">
        <v>209</v>
      </c>
      <c r="R42" s="341"/>
      <c r="S42" s="341">
        <f>+VLOOKUP($G42,PharmacyS!$D$10:$K$195,8,FALSE)</f>
        <v>67500</v>
      </c>
      <c r="T42" s="341"/>
      <c r="U42" s="340" t="s">
        <v>209</v>
      </c>
      <c r="V42" s="341"/>
      <c r="W42" s="341">
        <f>+VLOOKUP($G42,HealthCare!$D$10:$K$195,8,FALSE)</f>
        <v>67500</v>
      </c>
      <c r="X42" s="341"/>
      <c r="Y42" s="340" t="s">
        <v>209</v>
      </c>
      <c r="Z42" s="341"/>
      <c r="AA42" s="341">
        <f>+VLOOKUP($G42,Restaurant!$D$10:$K$194,8,FALSE)</f>
        <v>67500</v>
      </c>
      <c r="AB42" s="341"/>
      <c r="AC42" s="340" t="s">
        <v>209</v>
      </c>
      <c r="AD42" s="341"/>
      <c r="AE42" s="341">
        <f>+VLOOKUP($G42,GenRetL!$D$10:$K$194,8,FALSE)</f>
        <v>67500</v>
      </c>
      <c r="AF42" s="341"/>
      <c r="AG42" s="340" t="s">
        <v>209</v>
      </c>
      <c r="AH42" s="341"/>
      <c r="AI42" s="341">
        <f>+VLOOKUP($G42,GenRetS!$D$10:$K$195,8,FALSE)</f>
        <v>67500</v>
      </c>
      <c r="AJ42" s="341"/>
      <c r="AK42" s="340" t="s">
        <v>209</v>
      </c>
      <c r="AL42" s="341"/>
      <c r="AM42" s="341">
        <f>+VLOOKUP($G42,Laundr!$D$10:$K$195,8,FALSE)</f>
        <v>67500</v>
      </c>
      <c r="AN42" s="341"/>
      <c r="AO42" s="342"/>
      <c r="AP42" s="342"/>
    </row>
    <row r="43" spans="1:42" s="71" customFormat="1" ht="12" outlineLevel="1">
      <c r="A43" s="82"/>
      <c r="B43" s="82"/>
      <c r="C43" s="82"/>
      <c r="D43" s="82"/>
      <c r="E43" s="1083"/>
      <c r="F43" s="1084"/>
      <c r="G43" s="338" t="s">
        <v>389</v>
      </c>
      <c r="H43" s="339"/>
      <c r="I43" s="340" t="s">
        <v>175</v>
      </c>
      <c r="J43" s="341"/>
      <c r="K43" s="341"/>
      <c r="L43" s="341">
        <f>VLOOKUP($G43,Supermarket!$D$32:$K$51,8,FALSE)</f>
        <v>0</v>
      </c>
      <c r="M43" s="340" t="s">
        <v>175</v>
      </c>
      <c r="N43" s="341"/>
      <c r="O43" s="341"/>
      <c r="P43" s="341">
        <f>+VLOOKUP($G43,PharmacyL!$D$10:$K$194,8,FALSE)</f>
        <v>0</v>
      </c>
      <c r="Q43" s="340" t="s">
        <v>175</v>
      </c>
      <c r="R43" s="341"/>
      <c r="S43" s="341"/>
      <c r="T43" s="341">
        <f>+VLOOKUP($G43,PharmacyS!$D$10:$K$195,8,FALSE)</f>
        <v>0</v>
      </c>
      <c r="U43" s="340" t="s">
        <v>175</v>
      </c>
      <c r="V43" s="341"/>
      <c r="W43" s="341"/>
      <c r="X43" s="341">
        <f>+VLOOKUP($G43,HealthCare!$D$10:$K$195,8,FALSE)</f>
        <v>0</v>
      </c>
      <c r="Y43" s="340" t="s">
        <v>175</v>
      </c>
      <c r="Z43" s="341"/>
      <c r="AA43" s="341"/>
      <c r="AB43" s="341">
        <f>+VLOOKUP($G43,Restaurant!$D$10:$K$194,8,FALSE)</f>
        <v>0</v>
      </c>
      <c r="AC43" s="340" t="s">
        <v>175</v>
      </c>
      <c r="AD43" s="341"/>
      <c r="AE43" s="341"/>
      <c r="AF43" s="341">
        <f>+VLOOKUP($G43,GenRetL!$D$10:$K$194,8,FALSE)</f>
        <v>0</v>
      </c>
      <c r="AG43" s="340" t="s">
        <v>175</v>
      </c>
      <c r="AH43" s="341"/>
      <c r="AI43" s="341"/>
      <c r="AJ43" s="341">
        <f>+VLOOKUP($G43,GenRetS!$D$10:$K$195,8,FALSE)</f>
        <v>0</v>
      </c>
      <c r="AK43" s="340" t="s">
        <v>175</v>
      </c>
      <c r="AL43" s="341"/>
      <c r="AM43" s="341"/>
      <c r="AN43" s="341">
        <f>+VLOOKUP($G43,Laundr!$D$10:$K$195,8,FALSE)</f>
        <v>0</v>
      </c>
      <c r="AO43" s="342"/>
      <c r="AP43" s="342"/>
    </row>
    <row r="44" spans="1:42" s="71" customFormat="1" ht="12" outlineLevel="1">
      <c r="A44" s="82"/>
      <c r="B44" s="82"/>
      <c r="C44" s="82"/>
      <c r="D44" s="82"/>
      <c r="E44" s="1079" t="s">
        <v>8</v>
      </c>
      <c r="F44" s="1080"/>
      <c r="G44" s="1085" t="s">
        <v>10</v>
      </c>
      <c r="H44" s="1086"/>
      <c r="I44" s="340"/>
      <c r="J44" s="341"/>
      <c r="K44" s="341"/>
      <c r="L44" s="341"/>
      <c r="M44" s="340"/>
      <c r="N44" s="341"/>
      <c r="O44" s="341"/>
      <c r="P44" s="341"/>
      <c r="Q44" s="340"/>
      <c r="R44" s="341"/>
      <c r="S44" s="341"/>
      <c r="T44" s="341"/>
      <c r="U44" s="340"/>
      <c r="V44" s="341"/>
      <c r="W44" s="341"/>
      <c r="X44" s="341"/>
      <c r="Y44" s="340"/>
      <c r="Z44" s="341"/>
      <c r="AA44" s="341"/>
      <c r="AB44" s="341"/>
      <c r="AC44" s="340"/>
      <c r="AD44" s="341"/>
      <c r="AE44" s="341"/>
      <c r="AF44" s="341"/>
      <c r="AG44" s="340"/>
      <c r="AH44" s="341"/>
      <c r="AI44" s="341"/>
      <c r="AJ44" s="341"/>
      <c r="AK44" s="340"/>
      <c r="AL44" s="341"/>
      <c r="AM44" s="341"/>
      <c r="AN44" s="341"/>
      <c r="AO44" s="342"/>
      <c r="AP44" s="342"/>
    </row>
    <row r="45" spans="1:42" s="71" customFormat="1" ht="12" outlineLevel="1">
      <c r="A45" s="82"/>
      <c r="B45" s="82"/>
      <c r="C45" s="82"/>
      <c r="D45" s="82"/>
      <c r="E45" s="1081"/>
      <c r="F45" s="1082"/>
      <c r="G45" s="338" t="s">
        <v>390</v>
      </c>
      <c r="H45" s="339" t="s">
        <v>174</v>
      </c>
      <c r="I45" s="340" t="s">
        <v>176</v>
      </c>
      <c r="J45" s="341">
        <f>VLOOKUP($G45,Supermarket!$D$32:$K$51,8,FALSE)</f>
        <v>0</v>
      </c>
      <c r="K45" s="341"/>
      <c r="L45" s="341"/>
      <c r="M45" s="340" t="s">
        <v>176</v>
      </c>
      <c r="N45" s="341">
        <f>+VLOOKUP($G45,PharmacyL!$D$10:$K$194,8,FALSE)</f>
        <v>0</v>
      </c>
      <c r="O45" s="341"/>
      <c r="P45" s="341"/>
      <c r="Q45" s="340" t="s">
        <v>176</v>
      </c>
      <c r="R45" s="341">
        <f>+VLOOKUP($G45,PharmacyS!$D$10:$K$195,8,FALSE)</f>
        <v>0</v>
      </c>
      <c r="S45" s="341"/>
      <c r="T45" s="341"/>
      <c r="U45" s="340" t="s">
        <v>176</v>
      </c>
      <c r="V45" s="341">
        <f>+VLOOKUP($G45,HealthCare!$D$10:$K$195,8,FALSE)</f>
        <v>0</v>
      </c>
      <c r="W45" s="341"/>
      <c r="X45" s="341"/>
      <c r="Y45" s="340" t="s">
        <v>176</v>
      </c>
      <c r="Z45" s="341">
        <f>+VLOOKUP($G45,Restaurant!$D$10:$K$194,8,FALSE)</f>
        <v>0</v>
      </c>
      <c r="AA45" s="341"/>
      <c r="AB45" s="341"/>
      <c r="AC45" s="340" t="s">
        <v>176</v>
      </c>
      <c r="AD45" s="341">
        <f>+VLOOKUP($G45,GenRetL!$D$10:$K$194,8,FALSE)</f>
        <v>0</v>
      </c>
      <c r="AE45" s="341"/>
      <c r="AF45" s="341"/>
      <c r="AG45" s="340" t="s">
        <v>176</v>
      </c>
      <c r="AH45" s="341">
        <f>+VLOOKUP($G45,GenRetS!$D$10:$K$195,8,FALSE)</f>
        <v>0</v>
      </c>
      <c r="AI45" s="341"/>
      <c r="AJ45" s="341"/>
      <c r="AK45" s="340" t="s">
        <v>176</v>
      </c>
      <c r="AL45" s="341">
        <f>+VLOOKUP($G45,Laundr!$D$10:$K$195,8,FALSE)</f>
        <v>0</v>
      </c>
      <c r="AM45" s="341"/>
      <c r="AN45" s="341"/>
      <c r="AO45" s="342"/>
      <c r="AP45" s="342"/>
    </row>
    <row r="46" spans="1:42" s="71" customFormat="1" ht="24" outlineLevel="1">
      <c r="A46" s="82"/>
      <c r="B46" s="82"/>
      <c r="C46" s="82"/>
      <c r="D46" s="82"/>
      <c r="E46" s="1081"/>
      <c r="F46" s="1082"/>
      <c r="G46" s="338" t="s">
        <v>391</v>
      </c>
      <c r="H46" s="339"/>
      <c r="I46" s="340" t="s">
        <v>209</v>
      </c>
      <c r="J46" s="341"/>
      <c r="K46" s="341">
        <f>VLOOKUP($G46,Supermarket!$D$32:$K$51,8,FALSE)</f>
        <v>67500</v>
      </c>
      <c r="L46" s="341"/>
      <c r="M46" s="340" t="s">
        <v>209</v>
      </c>
      <c r="N46" s="341"/>
      <c r="O46" s="341">
        <f>+VLOOKUP($G46,PharmacyL!$D$10:$K$194,8,FALSE)</f>
        <v>67500</v>
      </c>
      <c r="P46" s="341"/>
      <c r="Q46" s="340" t="s">
        <v>209</v>
      </c>
      <c r="R46" s="341"/>
      <c r="S46" s="341">
        <f>+VLOOKUP($G46,PharmacyS!$D$10:$K$195,8,FALSE)</f>
        <v>67500</v>
      </c>
      <c r="T46" s="341"/>
      <c r="U46" s="340" t="s">
        <v>209</v>
      </c>
      <c r="V46" s="341"/>
      <c r="W46" s="341">
        <f>+VLOOKUP($G46,HealthCare!$D$10:$K$195,8,FALSE)</f>
        <v>67500</v>
      </c>
      <c r="X46" s="341"/>
      <c r="Y46" s="340" t="s">
        <v>209</v>
      </c>
      <c r="Z46" s="341"/>
      <c r="AA46" s="341">
        <f>+VLOOKUP($G46,Restaurant!$D$10:$K$194,8,FALSE)</f>
        <v>67500</v>
      </c>
      <c r="AB46" s="341"/>
      <c r="AC46" s="340" t="s">
        <v>209</v>
      </c>
      <c r="AD46" s="341"/>
      <c r="AE46" s="341">
        <f>+VLOOKUP($G46,GenRetL!$D$10:$K$194,8,FALSE)</f>
        <v>67500</v>
      </c>
      <c r="AF46" s="341"/>
      <c r="AG46" s="340" t="s">
        <v>209</v>
      </c>
      <c r="AH46" s="341"/>
      <c r="AI46" s="341">
        <f>+VLOOKUP($G46,GenRetS!$D$10:$K$195,8,FALSE)</f>
        <v>67500</v>
      </c>
      <c r="AJ46" s="341">
        <f>+VLOOKUP($G46,GenRetS!$D$10:$K$195,8,FALSE)</f>
        <v>67500</v>
      </c>
      <c r="AK46" s="340" t="s">
        <v>209</v>
      </c>
      <c r="AL46" s="341"/>
      <c r="AM46" s="341">
        <f>+VLOOKUP($G46,Laundr!$D$10:$K$195,8,FALSE)</f>
        <v>67500</v>
      </c>
      <c r="AN46" s="341"/>
      <c r="AO46" s="342"/>
      <c r="AP46" s="342"/>
    </row>
    <row r="47" spans="1:42" s="71" customFormat="1" ht="12" outlineLevel="1">
      <c r="A47" s="82"/>
      <c r="B47" s="82"/>
      <c r="C47" s="82"/>
      <c r="D47" s="82"/>
      <c r="E47" s="1083"/>
      <c r="F47" s="1084"/>
      <c r="G47" s="338" t="s">
        <v>392</v>
      </c>
      <c r="H47" s="339"/>
      <c r="I47" s="340" t="s">
        <v>175</v>
      </c>
      <c r="J47" s="341"/>
      <c r="K47" s="341"/>
      <c r="L47" s="341">
        <f>VLOOKUP($G47,Supermarket!$D$32:$K$51,8,FALSE)</f>
        <v>0</v>
      </c>
      <c r="M47" s="340" t="s">
        <v>175</v>
      </c>
      <c r="N47" s="341"/>
      <c r="O47" s="341"/>
      <c r="P47" s="341">
        <f>+VLOOKUP($G47,PharmacyL!$D$10:$K$194,8,FALSE)</f>
        <v>0</v>
      </c>
      <c r="Q47" s="340" t="s">
        <v>175</v>
      </c>
      <c r="R47" s="341"/>
      <c r="S47" s="341"/>
      <c r="T47" s="341">
        <f>+VLOOKUP($G47,PharmacyS!$D$10:$K$195,8,FALSE)</f>
        <v>0</v>
      </c>
      <c r="U47" s="340" t="s">
        <v>175</v>
      </c>
      <c r="V47" s="341"/>
      <c r="W47" s="341"/>
      <c r="X47" s="341">
        <f>+VLOOKUP($G47,HealthCare!$D$10:$K$195,8,FALSE)</f>
        <v>0</v>
      </c>
      <c r="Y47" s="340" t="s">
        <v>175</v>
      </c>
      <c r="Z47" s="341"/>
      <c r="AA47" s="341"/>
      <c r="AB47" s="341">
        <f>+VLOOKUP($G47,Restaurant!$D$10:$K$194,8,FALSE)</f>
        <v>0</v>
      </c>
      <c r="AC47" s="340" t="s">
        <v>175</v>
      </c>
      <c r="AD47" s="341"/>
      <c r="AE47" s="341"/>
      <c r="AF47" s="341">
        <f>+VLOOKUP($G47,GenRetL!$D$10:$K$194,8,FALSE)</f>
        <v>0</v>
      </c>
      <c r="AG47" s="340" t="s">
        <v>175</v>
      </c>
      <c r="AH47" s="341"/>
      <c r="AI47" s="341"/>
      <c r="AJ47" s="341"/>
      <c r="AK47" s="340" t="s">
        <v>175</v>
      </c>
      <c r="AL47" s="341"/>
      <c r="AM47" s="341"/>
      <c r="AN47" s="341">
        <f>+VLOOKUP($G47,Laundr!$D$10:$K$195,8,FALSE)</f>
        <v>0</v>
      </c>
      <c r="AO47" s="342"/>
      <c r="AP47" s="342"/>
    </row>
    <row r="48" spans="1:42" s="71" customFormat="1" ht="12" outlineLevel="1">
      <c r="A48" s="82"/>
      <c r="B48" s="82"/>
      <c r="C48" s="82"/>
      <c r="D48" s="82"/>
      <c r="E48" s="1079" t="s">
        <v>11</v>
      </c>
      <c r="F48" s="1080"/>
      <c r="G48" s="1085" t="s">
        <v>31</v>
      </c>
      <c r="H48" s="1086"/>
      <c r="I48" s="340"/>
      <c r="J48" s="341"/>
      <c r="K48" s="341"/>
      <c r="L48" s="341"/>
      <c r="M48" s="340"/>
      <c r="N48" s="341"/>
      <c r="O48" s="341"/>
      <c r="P48" s="341"/>
      <c r="Q48" s="340"/>
      <c r="R48" s="341"/>
      <c r="S48" s="341"/>
      <c r="T48" s="341"/>
      <c r="U48" s="340"/>
      <c r="V48" s="341"/>
      <c r="W48" s="341"/>
      <c r="X48" s="341"/>
      <c r="Y48" s="340"/>
      <c r="Z48" s="341"/>
      <c r="AA48" s="341"/>
      <c r="AB48" s="341"/>
      <c r="AC48" s="340"/>
      <c r="AD48" s="341"/>
      <c r="AE48" s="341"/>
      <c r="AF48" s="341"/>
      <c r="AG48" s="340"/>
      <c r="AH48" s="341"/>
      <c r="AI48" s="341"/>
      <c r="AJ48" s="341"/>
      <c r="AK48" s="340"/>
      <c r="AL48" s="341"/>
      <c r="AM48" s="341"/>
      <c r="AN48" s="341"/>
      <c r="AO48" s="342"/>
      <c r="AP48" s="342"/>
    </row>
    <row r="49" spans="1:42" s="71" customFormat="1" ht="12" outlineLevel="1">
      <c r="A49" s="82"/>
      <c r="B49" s="82"/>
      <c r="C49" s="82"/>
      <c r="D49" s="82"/>
      <c r="E49" s="1081"/>
      <c r="F49" s="1082"/>
      <c r="G49" s="338" t="s">
        <v>393</v>
      </c>
      <c r="H49" s="339" t="s">
        <v>177</v>
      </c>
      <c r="I49" s="340" t="s">
        <v>88</v>
      </c>
      <c r="J49" s="341">
        <f>VLOOKUP($G49,Supermarket!$D$32:$K$51,8,FALSE)</f>
        <v>0</v>
      </c>
      <c r="K49" s="341"/>
      <c r="L49" s="341"/>
      <c r="M49" s="340" t="s">
        <v>88</v>
      </c>
      <c r="N49" s="341">
        <f>+VLOOKUP($G49,PharmacyL!$D$10:$K$194,8,FALSE)</f>
        <v>0</v>
      </c>
      <c r="O49" s="341"/>
      <c r="P49" s="341"/>
      <c r="Q49" s="340" t="s">
        <v>88</v>
      </c>
      <c r="R49" s="341">
        <f>+VLOOKUP($G49,PharmacyS!$D$10:$K$195,8,FALSE)</f>
        <v>0</v>
      </c>
      <c r="S49" s="341"/>
      <c r="T49" s="341"/>
      <c r="U49" s="340" t="s">
        <v>88</v>
      </c>
      <c r="V49" s="341">
        <f>+VLOOKUP($G49,HealthCare!$D$10:$K$195,8,FALSE)</f>
        <v>0</v>
      </c>
      <c r="W49" s="341"/>
      <c r="X49" s="341"/>
      <c r="Y49" s="340" t="s">
        <v>88</v>
      </c>
      <c r="Z49" s="341">
        <f>+VLOOKUP($G49,Restaurant!$D$10:$K$194,8,FALSE)</f>
        <v>0</v>
      </c>
      <c r="AA49" s="341"/>
      <c r="AB49" s="341"/>
      <c r="AC49" s="340" t="s">
        <v>88</v>
      </c>
      <c r="AD49" s="341">
        <f>+VLOOKUP($G49,GenRetL!$D$10:$K$194,8,FALSE)</f>
        <v>0</v>
      </c>
      <c r="AE49" s="341"/>
      <c r="AF49" s="341"/>
      <c r="AG49" s="340" t="s">
        <v>88</v>
      </c>
      <c r="AH49" s="341">
        <f>+VLOOKUP($G49,GenRetS!$D$10:$K$195,8,FALSE)</f>
        <v>0</v>
      </c>
      <c r="AI49" s="341"/>
      <c r="AJ49" s="341"/>
      <c r="AK49" s="340" t="s">
        <v>88</v>
      </c>
      <c r="AL49" s="341">
        <f>+VLOOKUP($G49,Laundr!$D$10:$K$195,8,FALSE)</f>
        <v>0</v>
      </c>
      <c r="AM49" s="341"/>
      <c r="AN49" s="341"/>
      <c r="AO49" s="342"/>
      <c r="AP49" s="342"/>
    </row>
    <row r="50" spans="1:42" s="71" customFormat="1" ht="12" outlineLevel="1">
      <c r="A50" s="82"/>
      <c r="B50" s="82"/>
      <c r="C50" s="82"/>
      <c r="D50" s="82"/>
      <c r="E50" s="1081"/>
      <c r="F50" s="1082"/>
      <c r="G50" s="338" t="s">
        <v>394</v>
      </c>
      <c r="H50" s="339"/>
      <c r="I50" s="340" t="s">
        <v>88</v>
      </c>
      <c r="J50" s="341"/>
      <c r="K50" s="341"/>
      <c r="L50" s="341"/>
      <c r="M50" s="340" t="s">
        <v>88</v>
      </c>
      <c r="N50" s="341"/>
      <c r="O50" s="341"/>
      <c r="P50" s="341"/>
      <c r="Q50" s="340" t="s">
        <v>88</v>
      </c>
      <c r="R50" s="341"/>
      <c r="S50" s="341"/>
      <c r="T50" s="341"/>
      <c r="U50" s="340" t="s">
        <v>88</v>
      </c>
      <c r="V50" s="341"/>
      <c r="W50" s="341"/>
      <c r="X50" s="341"/>
      <c r="Y50" s="340" t="s">
        <v>88</v>
      </c>
      <c r="Z50" s="341"/>
      <c r="AA50" s="341"/>
      <c r="AB50" s="341"/>
      <c r="AC50" s="340" t="s">
        <v>88</v>
      </c>
      <c r="AD50" s="341"/>
      <c r="AE50" s="341"/>
      <c r="AF50" s="341"/>
      <c r="AG50" s="340" t="s">
        <v>88</v>
      </c>
      <c r="AH50" s="341"/>
      <c r="AI50" s="341"/>
      <c r="AJ50" s="341"/>
      <c r="AK50" s="340" t="s">
        <v>88</v>
      </c>
      <c r="AL50" s="341"/>
      <c r="AM50" s="341"/>
      <c r="AN50" s="341"/>
      <c r="AO50" s="342"/>
      <c r="AP50" s="342"/>
    </row>
    <row r="51" spans="1:42" s="71" customFormat="1" ht="12" outlineLevel="1">
      <c r="A51" s="82"/>
      <c r="B51" s="82"/>
      <c r="C51" s="82"/>
      <c r="D51" s="82"/>
      <c r="E51" s="1083"/>
      <c r="F51" s="1084"/>
      <c r="G51" s="338" t="s">
        <v>395</v>
      </c>
      <c r="H51" s="339"/>
      <c r="I51" s="340" t="s">
        <v>88</v>
      </c>
      <c r="J51" s="341"/>
      <c r="K51" s="341"/>
      <c r="L51" s="341"/>
      <c r="M51" s="340" t="s">
        <v>88</v>
      </c>
      <c r="N51" s="341"/>
      <c r="O51" s="341"/>
      <c r="P51" s="341"/>
      <c r="Q51" s="340" t="s">
        <v>88</v>
      </c>
      <c r="R51" s="341"/>
      <c r="S51" s="341"/>
      <c r="T51" s="341"/>
      <c r="U51" s="340" t="s">
        <v>88</v>
      </c>
      <c r="V51" s="341"/>
      <c r="W51" s="341"/>
      <c r="X51" s="341"/>
      <c r="Y51" s="340" t="s">
        <v>88</v>
      </c>
      <c r="Z51" s="341"/>
      <c r="AA51" s="341"/>
      <c r="AB51" s="341"/>
      <c r="AC51" s="340" t="s">
        <v>88</v>
      </c>
      <c r="AD51" s="341"/>
      <c r="AE51" s="341"/>
      <c r="AF51" s="341"/>
      <c r="AG51" s="340" t="s">
        <v>210</v>
      </c>
      <c r="AH51" s="341"/>
      <c r="AI51" s="341"/>
      <c r="AJ51" s="341"/>
      <c r="AK51" s="340" t="s">
        <v>88</v>
      </c>
      <c r="AL51" s="341"/>
      <c r="AM51" s="341"/>
      <c r="AN51" s="341"/>
      <c r="AO51" s="342"/>
      <c r="AP51" s="342"/>
    </row>
    <row r="52" spans="1:42" s="85" customFormat="1" ht="12">
      <c r="A52" s="84"/>
      <c r="B52" s="84"/>
      <c r="C52" s="84"/>
      <c r="D52" s="84"/>
      <c r="E52" s="334">
        <v>1.3</v>
      </c>
      <c r="F52" s="1108" t="s">
        <v>32</v>
      </c>
      <c r="G52" s="1109"/>
      <c r="H52" s="1110"/>
      <c r="I52" s="340"/>
      <c r="J52" s="341"/>
      <c r="K52" s="341"/>
      <c r="L52" s="341"/>
      <c r="M52" s="340"/>
      <c r="N52" s="341"/>
      <c r="O52" s="341"/>
      <c r="P52" s="341"/>
      <c r="Q52" s="340"/>
      <c r="R52" s="341"/>
      <c r="S52" s="341"/>
      <c r="T52" s="341"/>
      <c r="U52" s="340"/>
      <c r="V52" s="341"/>
      <c r="W52" s="341"/>
      <c r="X52" s="341"/>
      <c r="Y52" s="340"/>
      <c r="Z52" s="341"/>
      <c r="AA52" s="341"/>
      <c r="AB52" s="341"/>
      <c r="AC52" s="340"/>
      <c r="AD52" s="341"/>
      <c r="AE52" s="341"/>
      <c r="AF52" s="341"/>
      <c r="AG52" s="340"/>
      <c r="AH52" s="341"/>
      <c r="AI52" s="341"/>
      <c r="AJ52" s="341"/>
      <c r="AK52" s="340"/>
      <c r="AL52" s="341"/>
      <c r="AM52" s="341"/>
      <c r="AN52" s="341"/>
      <c r="AO52" s="342"/>
      <c r="AP52" s="342"/>
    </row>
    <row r="53" spans="1:42" s="71" customFormat="1" ht="12" outlineLevel="1">
      <c r="A53" s="82"/>
      <c r="B53" s="82"/>
      <c r="C53" s="82"/>
      <c r="D53" s="82"/>
      <c r="E53" s="1079" t="s">
        <v>5</v>
      </c>
      <c r="F53" s="1080"/>
      <c r="G53" s="1085" t="s">
        <v>13</v>
      </c>
      <c r="H53" s="1086"/>
      <c r="I53" s="340"/>
      <c r="J53" s="341"/>
      <c r="K53" s="341"/>
      <c r="L53" s="341"/>
      <c r="M53" s="340"/>
      <c r="N53" s="341"/>
      <c r="O53" s="341"/>
      <c r="P53" s="341"/>
      <c r="Q53" s="340"/>
      <c r="R53" s="341"/>
      <c r="S53" s="341"/>
      <c r="T53" s="341"/>
      <c r="U53" s="340"/>
      <c r="V53" s="341"/>
      <c r="W53" s="341"/>
      <c r="X53" s="341"/>
      <c r="Y53" s="340"/>
      <c r="Z53" s="341"/>
      <c r="AA53" s="341"/>
      <c r="AB53" s="341"/>
      <c r="AC53" s="340"/>
      <c r="AD53" s="341"/>
      <c r="AE53" s="341"/>
      <c r="AF53" s="341"/>
      <c r="AG53" s="340"/>
      <c r="AH53" s="341"/>
      <c r="AI53" s="341"/>
      <c r="AJ53" s="341"/>
      <c r="AK53" s="340"/>
      <c r="AL53" s="341"/>
      <c r="AM53" s="341"/>
      <c r="AN53" s="341"/>
      <c r="AO53" s="342"/>
      <c r="AP53" s="342"/>
    </row>
    <row r="54" spans="1:42" s="71" customFormat="1" ht="12" outlineLevel="1">
      <c r="A54" s="82"/>
      <c r="B54" s="82"/>
      <c r="C54" s="82"/>
      <c r="D54" s="82"/>
      <c r="E54" s="1081"/>
      <c r="F54" s="1082"/>
      <c r="G54" s="338" t="s">
        <v>396</v>
      </c>
      <c r="H54" s="339"/>
      <c r="I54" s="340" t="s">
        <v>278</v>
      </c>
      <c r="J54" s="341">
        <f>+VLOOKUP($G54,Supermarket!$D$53:$K$55,8,FALSE)</f>
        <v>6000</v>
      </c>
      <c r="K54" s="341"/>
      <c r="L54" s="341"/>
      <c r="M54" s="340" t="s">
        <v>279</v>
      </c>
      <c r="N54" s="341">
        <f>+VLOOKUP($G54,PharmacyL!$D$10:$K$194,8,FALSE)</f>
        <v>9000</v>
      </c>
      <c r="O54" s="341"/>
      <c r="P54" s="341"/>
      <c r="Q54" s="340" t="s">
        <v>280</v>
      </c>
      <c r="R54" s="341">
        <f>+VLOOKUP($G54,PharmacyS!$D$10:$K$195,8,FALSE)</f>
        <v>4000</v>
      </c>
      <c r="S54" s="341"/>
      <c r="T54" s="341"/>
      <c r="U54" s="340" t="s">
        <v>281</v>
      </c>
      <c r="V54" s="341">
        <f>+VLOOKUP($G54,HealthCare!$D$10:$K$195,8,FALSE)</f>
        <v>1500</v>
      </c>
      <c r="W54" s="341"/>
      <c r="X54" s="341"/>
      <c r="Y54" s="340" t="s">
        <v>282</v>
      </c>
      <c r="Z54" s="341">
        <f>+VLOOKUP($G54,Restaurant!$D$10:$K$194,8,FALSE)</f>
        <v>63000</v>
      </c>
      <c r="AA54" s="341"/>
      <c r="AB54" s="341"/>
      <c r="AC54" s="340" t="s">
        <v>283</v>
      </c>
      <c r="AD54" s="341">
        <f>+VLOOKUP($G54,GenRetL!$D$10:$K$194,8,FALSE)</f>
        <v>2000</v>
      </c>
      <c r="AE54" s="341"/>
      <c r="AF54" s="341"/>
      <c r="AG54" s="340" t="s">
        <v>284</v>
      </c>
      <c r="AH54" s="341">
        <f>+VLOOKUP($G54,GenRetS!$D$10:$K$195,8,FALSE)</f>
        <v>1000</v>
      </c>
      <c r="AI54" s="341">
        <f>+VLOOKUP($G54,GenRetS!$D$10:$K$195,8,FALSE)</f>
        <v>1000</v>
      </c>
      <c r="AJ54" s="341"/>
      <c r="AK54" s="340" t="s">
        <v>285</v>
      </c>
      <c r="AL54" s="341">
        <f>+VLOOKUP($G54,Laundr!$D$10:$K$195,8,FALSE)</f>
        <v>2000</v>
      </c>
      <c r="AM54" s="341">
        <f>+VLOOKUP($G54,Laundr!$D$10:$K$195,8,FALSE)</f>
        <v>2000</v>
      </c>
      <c r="AN54" s="341"/>
      <c r="AO54" s="342"/>
      <c r="AP54" s="342"/>
    </row>
    <row r="55" spans="1:42" s="71" customFormat="1" ht="12" outlineLevel="1">
      <c r="A55" s="82"/>
      <c r="B55" s="82"/>
      <c r="C55" s="82"/>
      <c r="D55" s="82"/>
      <c r="E55" s="1081"/>
      <c r="F55" s="1082"/>
      <c r="G55" s="338" t="s">
        <v>397</v>
      </c>
      <c r="H55" s="339"/>
      <c r="I55" s="340" t="s">
        <v>178</v>
      </c>
      <c r="J55" s="341"/>
      <c r="K55" s="341">
        <f>+VLOOKUP($G55,Supermarket!$D$53:$K$55,8,FALSE)</f>
        <v>60000</v>
      </c>
      <c r="L55" s="341"/>
      <c r="M55" s="340" t="s">
        <v>178</v>
      </c>
      <c r="N55" s="341"/>
      <c r="O55" s="341">
        <f>+VLOOKUP($G55,PharmacyL!$D$10:$K$194,8,FALSE)</f>
        <v>60000</v>
      </c>
      <c r="P55" s="341"/>
      <c r="Q55" s="340" t="s">
        <v>178</v>
      </c>
      <c r="R55" s="341"/>
      <c r="S55" s="341">
        <f>+VLOOKUP($G55,PharmacyS!$D$10:$K$195,8,FALSE)</f>
        <v>60000</v>
      </c>
      <c r="T55" s="341"/>
      <c r="U55" s="340" t="s">
        <v>178</v>
      </c>
      <c r="V55" s="341"/>
      <c r="W55" s="341">
        <f>+VLOOKUP($G55,HealthCare!$D$10:$K$195,8,FALSE)</f>
        <v>60000</v>
      </c>
      <c r="X55" s="341"/>
      <c r="Y55" s="340" t="s">
        <v>178</v>
      </c>
      <c r="Z55" s="341"/>
      <c r="AA55" s="341">
        <f>+VLOOKUP($G55,Restaurant!$D$10:$K$194,8,FALSE)</f>
        <v>0</v>
      </c>
      <c r="AB55" s="341"/>
      <c r="AC55" s="340" t="s">
        <v>178</v>
      </c>
      <c r="AD55" s="341"/>
      <c r="AE55" s="341">
        <f>+VLOOKUP($G55,GenRetL!$D$10:$K$194,8,FALSE)</f>
        <v>60000</v>
      </c>
      <c r="AF55" s="341"/>
      <c r="AG55" s="340" t="s">
        <v>178</v>
      </c>
      <c r="AH55" s="341"/>
      <c r="AI55" s="341">
        <f>+VLOOKUP($G55,GenRetS!$D$10:$K$195,8,FALSE)</f>
        <v>60000</v>
      </c>
      <c r="AJ55" s="341">
        <f>+VLOOKUP($G55,GenRetS!$D$10:$K$195,8,FALSE)</f>
        <v>60000</v>
      </c>
      <c r="AK55" s="340" t="s">
        <v>178</v>
      </c>
      <c r="AL55" s="341"/>
      <c r="AM55" s="341">
        <f>+VLOOKUP($G55,Laundr!$D$10:$K$195,8,FALSE)</f>
        <v>60000</v>
      </c>
      <c r="AN55" s="341">
        <f>+VLOOKUP($G55,Laundr!$D$10:$K$195,8,FALSE)</f>
        <v>60000</v>
      </c>
      <c r="AO55" s="342"/>
      <c r="AP55" s="342"/>
    </row>
    <row r="56" spans="1:42" s="71" customFormat="1" ht="24" outlineLevel="1">
      <c r="A56" s="82"/>
      <c r="B56" s="82"/>
      <c r="C56" s="82"/>
      <c r="D56" s="82"/>
      <c r="E56" s="1083"/>
      <c r="F56" s="1084"/>
      <c r="G56" s="338" t="s">
        <v>398</v>
      </c>
      <c r="H56" s="339" t="s">
        <v>179</v>
      </c>
      <c r="I56" s="340" t="s">
        <v>181</v>
      </c>
      <c r="J56" s="341"/>
      <c r="K56" s="341"/>
      <c r="L56" s="341">
        <f>+VLOOKUP($G56,Supermarket!$D$53:$K$55,8,FALSE)</f>
        <v>0</v>
      </c>
      <c r="M56" s="340" t="s">
        <v>181</v>
      </c>
      <c r="N56" s="341"/>
      <c r="O56" s="341"/>
      <c r="P56" s="341">
        <f>+VLOOKUP($G56,PharmacyL!$D$10:$K$194,8,FALSE)</f>
        <v>0</v>
      </c>
      <c r="Q56" s="340" t="s">
        <v>181</v>
      </c>
      <c r="R56" s="341"/>
      <c r="S56" s="341"/>
      <c r="T56" s="341">
        <f>+VLOOKUP($G56,PharmacyS!$D$10:$K$195,8,FALSE)</f>
        <v>0</v>
      </c>
      <c r="U56" s="340" t="s">
        <v>181</v>
      </c>
      <c r="V56" s="341"/>
      <c r="W56" s="341"/>
      <c r="X56" s="341">
        <f>+VLOOKUP($G56,HealthCare!$D$10:$K$195,8,FALSE)</f>
        <v>0</v>
      </c>
      <c r="Y56" s="340" t="s">
        <v>181</v>
      </c>
      <c r="Z56" s="341"/>
      <c r="AA56" s="341"/>
      <c r="AB56" s="341">
        <f>+VLOOKUP($G56,Restaurant!$D$10:$K$194,8,FALSE)</f>
        <v>0</v>
      </c>
      <c r="AC56" s="340" t="s">
        <v>181</v>
      </c>
      <c r="AD56" s="341"/>
      <c r="AE56" s="341"/>
      <c r="AF56" s="341">
        <f>+VLOOKUP($G56,GenRetL!$D$10:$K$194,8,FALSE)</f>
        <v>0</v>
      </c>
      <c r="AG56" s="340" t="s">
        <v>180</v>
      </c>
      <c r="AH56" s="341"/>
      <c r="AI56" s="341"/>
      <c r="AJ56" s="341">
        <f>+VLOOKUP($G56,GenRetS!$D$10:$K$195,8,FALSE)</f>
        <v>0</v>
      </c>
      <c r="AK56" s="340" t="s">
        <v>180</v>
      </c>
      <c r="AL56" s="341"/>
      <c r="AM56" s="341"/>
      <c r="AN56" s="341">
        <f>+VLOOKUP($G56,Laundr!$D$10:$K$195,8,FALSE)</f>
        <v>0</v>
      </c>
      <c r="AO56" s="342"/>
      <c r="AP56" s="342"/>
    </row>
    <row r="57" spans="1:42" s="85" customFormat="1" ht="12">
      <c r="A57" s="84"/>
      <c r="B57" s="84"/>
      <c r="C57" s="84"/>
      <c r="D57" s="84"/>
      <c r="E57" s="334">
        <v>1.4</v>
      </c>
      <c r="F57" s="1108" t="s">
        <v>14</v>
      </c>
      <c r="G57" s="1109"/>
      <c r="H57" s="1110"/>
      <c r="I57" s="340"/>
      <c r="J57" s="341"/>
      <c r="K57" s="341"/>
      <c r="L57" s="341"/>
      <c r="M57" s="340"/>
      <c r="N57" s="341"/>
      <c r="O57" s="341"/>
      <c r="P57" s="341"/>
      <c r="Q57" s="340"/>
      <c r="R57" s="341"/>
      <c r="S57" s="341"/>
      <c r="T57" s="341"/>
      <c r="U57" s="340"/>
      <c r="V57" s="341"/>
      <c r="W57" s="341"/>
      <c r="X57" s="341"/>
      <c r="Y57" s="340"/>
      <c r="Z57" s="341"/>
      <c r="AA57" s="341"/>
      <c r="AB57" s="341"/>
      <c r="AC57" s="340"/>
      <c r="AD57" s="341"/>
      <c r="AE57" s="341"/>
      <c r="AF57" s="341"/>
      <c r="AG57" s="340"/>
      <c r="AH57" s="341"/>
      <c r="AI57" s="341"/>
      <c r="AJ57" s="341"/>
      <c r="AK57" s="340"/>
      <c r="AL57" s="341"/>
      <c r="AM57" s="341"/>
      <c r="AN57" s="341"/>
      <c r="AO57" s="342"/>
      <c r="AP57" s="342"/>
    </row>
    <row r="58" spans="1:42" s="71" customFormat="1" ht="12" outlineLevel="1">
      <c r="A58" s="82"/>
      <c r="B58" s="82"/>
      <c r="C58" s="82"/>
      <c r="D58" s="82"/>
      <c r="E58" s="1079" t="s">
        <v>5</v>
      </c>
      <c r="F58" s="1080"/>
      <c r="G58" s="1085" t="s">
        <v>15</v>
      </c>
      <c r="H58" s="1086"/>
      <c r="I58" s="340"/>
      <c r="J58" s="341"/>
      <c r="K58" s="341"/>
      <c r="L58" s="341"/>
      <c r="M58" s="340"/>
      <c r="N58" s="341"/>
      <c r="O58" s="341"/>
      <c r="P58" s="341"/>
      <c r="Q58" s="340"/>
      <c r="R58" s="341"/>
      <c r="S58" s="341"/>
      <c r="T58" s="341"/>
      <c r="U58" s="340"/>
      <c r="V58" s="341"/>
      <c r="W58" s="341"/>
      <c r="X58" s="341"/>
      <c r="Y58" s="340"/>
      <c r="Z58" s="341"/>
      <c r="AA58" s="341"/>
      <c r="AB58" s="341"/>
      <c r="AC58" s="340"/>
      <c r="AD58" s="341"/>
      <c r="AE58" s="341"/>
      <c r="AF58" s="341"/>
      <c r="AG58" s="340"/>
      <c r="AH58" s="341"/>
      <c r="AI58" s="341"/>
      <c r="AJ58" s="341"/>
      <c r="AK58" s="340"/>
      <c r="AL58" s="341"/>
      <c r="AM58" s="341"/>
      <c r="AN58" s="341"/>
      <c r="AO58" s="342"/>
      <c r="AP58" s="342"/>
    </row>
    <row r="59" spans="1:42" s="71" customFormat="1" ht="12" outlineLevel="1">
      <c r="A59" s="82"/>
      <c r="B59" s="82"/>
      <c r="C59" s="82"/>
      <c r="D59" s="82"/>
      <c r="E59" s="1081"/>
      <c r="F59" s="1082"/>
      <c r="G59" s="338" t="s">
        <v>399</v>
      </c>
      <c r="H59" s="339"/>
      <c r="I59" s="340" t="s">
        <v>182</v>
      </c>
      <c r="J59" s="341">
        <f>+VLOOKUP($G59,Supermarket!$D$57:$K$59,8,FALSE)</f>
        <v>0</v>
      </c>
      <c r="K59" s="341"/>
      <c r="L59" s="341"/>
      <c r="M59" s="340" t="s">
        <v>182</v>
      </c>
      <c r="N59" s="341">
        <f>+VLOOKUP($G59,PharmacyL!$D$10:$K$194,8,FALSE)</f>
        <v>0</v>
      </c>
      <c r="O59" s="341"/>
      <c r="P59" s="341"/>
      <c r="Q59" s="340" t="s">
        <v>182</v>
      </c>
      <c r="R59" s="341">
        <f>+VLOOKUP($G59,PharmacyS!$D$10:$K$195,8,FALSE)</f>
        <v>0</v>
      </c>
      <c r="S59" s="341"/>
      <c r="T59" s="341"/>
      <c r="U59" s="340" t="s">
        <v>182</v>
      </c>
      <c r="V59" s="341">
        <f>+VLOOKUP($G59,HealthCare!$D$10:$K$195,8,FALSE)</f>
        <v>0</v>
      </c>
      <c r="W59" s="341"/>
      <c r="X59" s="341"/>
      <c r="Y59" s="340" t="s">
        <v>182</v>
      </c>
      <c r="Z59" s="341">
        <f>+VLOOKUP($G59,Restaurant!$D$10:$K$194,8,FALSE)</f>
        <v>0</v>
      </c>
      <c r="AA59" s="341"/>
      <c r="AB59" s="341"/>
      <c r="AC59" s="340" t="s">
        <v>182</v>
      </c>
      <c r="AD59" s="341">
        <f>+VLOOKUP($G59,GenRetL!$D$10:$K$194,8,FALSE)</f>
        <v>0</v>
      </c>
      <c r="AE59" s="341"/>
      <c r="AF59" s="341"/>
      <c r="AG59" s="340" t="s">
        <v>182</v>
      </c>
      <c r="AH59" s="341">
        <f>+VLOOKUP($G59,GenRetS!$D$10:$K$195,8,FALSE)</f>
        <v>0</v>
      </c>
      <c r="AI59" s="341"/>
      <c r="AJ59" s="341"/>
      <c r="AK59" s="340" t="s">
        <v>182</v>
      </c>
      <c r="AL59" s="341">
        <f>+VLOOKUP($G59,Laundr!$D$10:$K$195,8,FALSE)</f>
        <v>0</v>
      </c>
      <c r="AM59" s="341"/>
      <c r="AN59" s="341"/>
      <c r="AO59" s="342"/>
      <c r="AP59" s="342"/>
    </row>
    <row r="60" spans="1:42" s="71" customFormat="1" ht="12" outlineLevel="1">
      <c r="A60" s="82"/>
      <c r="B60" s="82"/>
      <c r="C60" s="82"/>
      <c r="D60" s="82"/>
      <c r="E60" s="1081"/>
      <c r="F60" s="1082"/>
      <c r="G60" s="338" t="s">
        <v>400</v>
      </c>
      <c r="H60" s="339"/>
      <c r="I60" s="340" t="s">
        <v>182</v>
      </c>
      <c r="J60" s="341"/>
      <c r="K60" s="341">
        <f>+VLOOKUP($G60,Supermarket!$D$57:$K$59,8,FALSE)</f>
        <v>0</v>
      </c>
      <c r="L60" s="341"/>
      <c r="M60" s="340" t="s">
        <v>182</v>
      </c>
      <c r="N60" s="341"/>
      <c r="O60" s="341">
        <v>0</v>
      </c>
      <c r="P60" s="341"/>
      <c r="Q60" s="340" t="s">
        <v>182</v>
      </c>
      <c r="R60" s="341"/>
      <c r="S60" s="341"/>
      <c r="T60" s="341"/>
      <c r="U60" s="340" t="s">
        <v>182</v>
      </c>
      <c r="V60" s="341"/>
      <c r="W60" s="341"/>
      <c r="X60" s="341"/>
      <c r="Y60" s="340" t="s">
        <v>182</v>
      </c>
      <c r="Z60" s="341"/>
      <c r="AA60" s="341"/>
      <c r="AB60" s="341"/>
      <c r="AC60" s="340" t="s">
        <v>182</v>
      </c>
      <c r="AD60" s="341"/>
      <c r="AE60" s="341"/>
      <c r="AF60" s="341"/>
      <c r="AG60" s="340" t="s">
        <v>182</v>
      </c>
      <c r="AH60" s="341"/>
      <c r="AI60" s="341"/>
      <c r="AJ60" s="341"/>
      <c r="AK60" s="340" t="s">
        <v>182</v>
      </c>
      <c r="AL60" s="341"/>
      <c r="AM60" s="341"/>
      <c r="AN60" s="341"/>
      <c r="AO60" s="342"/>
      <c r="AP60" s="342"/>
    </row>
    <row r="61" spans="1:42" s="71" customFormat="1" ht="12" outlineLevel="1">
      <c r="A61" s="82"/>
      <c r="B61" s="82"/>
      <c r="C61" s="82"/>
      <c r="D61" s="82"/>
      <c r="E61" s="1083"/>
      <c r="F61" s="1084"/>
      <c r="G61" s="338" t="s">
        <v>401</v>
      </c>
      <c r="H61" s="339"/>
      <c r="I61" s="340" t="s">
        <v>182</v>
      </c>
      <c r="J61" s="341"/>
      <c r="K61" s="341"/>
      <c r="L61" s="341">
        <f>+VLOOKUP($G61,Supermarket!$D$57:$K$59,8,FALSE)</f>
        <v>0</v>
      </c>
      <c r="M61" s="340" t="s">
        <v>182</v>
      </c>
      <c r="N61" s="341"/>
      <c r="O61" s="341"/>
      <c r="P61" s="341">
        <f>+VLOOKUP($G61,PharmacyL!$D$10:$K$194,8,FALSE)</f>
        <v>0</v>
      </c>
      <c r="Q61" s="340" t="s">
        <v>182</v>
      </c>
      <c r="R61" s="341"/>
      <c r="S61" s="341"/>
      <c r="T61" s="341">
        <f>+VLOOKUP($G61,PharmacyS!$D$10:$K$195,8,FALSE)</f>
        <v>0</v>
      </c>
      <c r="U61" s="340" t="s">
        <v>182</v>
      </c>
      <c r="V61" s="341"/>
      <c r="W61" s="341"/>
      <c r="X61" s="341">
        <f>+VLOOKUP($G61,HealthCare!$D$10:$K$195,8,FALSE)</f>
        <v>0</v>
      </c>
      <c r="Y61" s="340" t="s">
        <v>182</v>
      </c>
      <c r="Z61" s="341"/>
      <c r="AA61" s="341"/>
      <c r="AB61" s="341">
        <f>+VLOOKUP($G61,Restaurant!$D$10:$K$194,8,FALSE)</f>
        <v>0</v>
      </c>
      <c r="AC61" s="340" t="s">
        <v>182</v>
      </c>
      <c r="AD61" s="341"/>
      <c r="AE61" s="341"/>
      <c r="AF61" s="341">
        <f>+VLOOKUP($G61,GenRetL!$D$10:$K$194,8,FALSE)</f>
        <v>0</v>
      </c>
      <c r="AG61" s="340" t="s">
        <v>182</v>
      </c>
      <c r="AH61" s="341"/>
      <c r="AI61" s="341"/>
      <c r="AJ61" s="341">
        <f>+VLOOKUP($G61,GenRetS!$D$10:$K$195,8,FALSE)</f>
        <v>0</v>
      </c>
      <c r="AK61" s="340" t="s">
        <v>182</v>
      </c>
      <c r="AL61" s="341"/>
      <c r="AM61" s="341"/>
      <c r="AN61" s="341">
        <f>+VLOOKUP($G61,Laundr!$D$10:$K$195,8,FALSE)</f>
        <v>0</v>
      </c>
      <c r="AO61" s="342"/>
      <c r="AP61" s="342"/>
    </row>
    <row r="62" spans="1:42" s="85" customFormat="1" ht="12">
      <c r="A62" s="84"/>
      <c r="B62" s="84"/>
      <c r="C62" s="84"/>
      <c r="D62" s="84"/>
      <c r="E62" s="334">
        <v>1.5</v>
      </c>
      <c r="F62" s="1108" t="s">
        <v>16</v>
      </c>
      <c r="G62" s="1109"/>
      <c r="H62" s="1110"/>
      <c r="I62" s="340"/>
      <c r="J62" s="341"/>
      <c r="K62" s="341"/>
      <c r="L62" s="341"/>
      <c r="M62" s="340"/>
      <c r="N62" s="341"/>
      <c r="O62" s="341"/>
      <c r="P62" s="341"/>
      <c r="Q62" s="340"/>
      <c r="R62" s="341"/>
      <c r="S62" s="341"/>
      <c r="T62" s="341"/>
      <c r="U62" s="340"/>
      <c r="V62" s="341"/>
      <c r="W62" s="341"/>
      <c r="X62" s="341"/>
      <c r="Y62" s="340"/>
      <c r="Z62" s="341"/>
      <c r="AA62" s="341"/>
      <c r="AB62" s="341"/>
      <c r="AC62" s="340"/>
      <c r="AD62" s="341"/>
      <c r="AE62" s="341"/>
      <c r="AF62" s="341"/>
      <c r="AG62" s="340"/>
      <c r="AH62" s="341"/>
      <c r="AI62" s="341"/>
      <c r="AJ62" s="341"/>
      <c r="AK62" s="340"/>
      <c r="AL62" s="341"/>
      <c r="AM62" s="341"/>
      <c r="AN62" s="341"/>
      <c r="AO62" s="342"/>
      <c r="AP62" s="342"/>
    </row>
    <row r="63" spans="1:42" s="71" customFormat="1" ht="12" outlineLevel="1">
      <c r="A63" s="82"/>
      <c r="B63" s="82"/>
      <c r="C63" s="82"/>
      <c r="D63" s="82"/>
      <c r="E63" s="1079" t="s">
        <v>5</v>
      </c>
      <c r="F63" s="1080"/>
      <c r="G63" s="1085" t="s">
        <v>17</v>
      </c>
      <c r="H63" s="1086"/>
      <c r="I63" s="340"/>
      <c r="J63" s="341"/>
      <c r="K63" s="341"/>
      <c r="L63" s="341"/>
      <c r="M63" s="340"/>
      <c r="N63" s="341"/>
      <c r="O63" s="341"/>
      <c r="P63" s="341"/>
      <c r="Q63" s="340"/>
      <c r="R63" s="341"/>
      <c r="S63" s="341"/>
      <c r="T63" s="341"/>
      <c r="U63" s="340"/>
      <c r="V63" s="341"/>
      <c r="W63" s="341"/>
      <c r="X63" s="341"/>
      <c r="Y63" s="340"/>
      <c r="Z63" s="341"/>
      <c r="AA63" s="341"/>
      <c r="AB63" s="341"/>
      <c r="AC63" s="340"/>
      <c r="AD63" s="341"/>
      <c r="AE63" s="341"/>
      <c r="AF63" s="341"/>
      <c r="AG63" s="340"/>
      <c r="AH63" s="341"/>
      <c r="AI63" s="341"/>
      <c r="AJ63" s="341"/>
      <c r="AK63" s="340"/>
      <c r="AL63" s="341"/>
      <c r="AM63" s="341"/>
      <c r="AN63" s="341"/>
      <c r="AO63" s="342"/>
      <c r="AP63" s="342"/>
    </row>
    <row r="64" spans="1:42" s="71" customFormat="1" ht="24" outlineLevel="1">
      <c r="A64" s="82"/>
      <c r="B64" s="82"/>
      <c r="C64" s="82"/>
      <c r="D64" s="82"/>
      <c r="E64" s="1081"/>
      <c r="F64" s="1082"/>
      <c r="G64" s="338" t="s">
        <v>402</v>
      </c>
      <c r="H64" s="339" t="s">
        <v>185</v>
      </c>
      <c r="I64" s="340" t="s">
        <v>186</v>
      </c>
      <c r="J64" s="341">
        <f>+VLOOKUP($G64,Supermarket!$D$61:$K$65,8,FALSE)</f>
        <v>6000</v>
      </c>
      <c r="K64" s="341"/>
      <c r="L64" s="341"/>
      <c r="M64" s="340" t="s">
        <v>183</v>
      </c>
      <c r="N64" s="341">
        <f>+VLOOKUP($G64,PharmacyL!$D$10:$K$194,8,FALSE)</f>
        <v>6000</v>
      </c>
      <c r="O64" s="341"/>
      <c r="P64" s="341"/>
      <c r="Q64" s="340" t="s">
        <v>183</v>
      </c>
      <c r="R64" s="341">
        <f>+VLOOKUP($G64,PharmacyS!$D$10:$K$195,8,FALSE)</f>
        <v>6000</v>
      </c>
      <c r="S64" s="341"/>
      <c r="T64" s="341"/>
      <c r="U64" s="340" t="s">
        <v>183</v>
      </c>
      <c r="V64" s="341">
        <f>+VLOOKUP($G64,HealthCare!$D$10:$K$195,8,FALSE)</f>
        <v>6000</v>
      </c>
      <c r="W64" s="341"/>
      <c r="X64" s="341"/>
      <c r="Y64" s="340" t="s">
        <v>183</v>
      </c>
      <c r="Z64" s="341">
        <f>+VLOOKUP($G64,Restaurant!$D$10:$K$194,8,FALSE)</f>
        <v>12000</v>
      </c>
      <c r="AA64" s="341"/>
      <c r="AB64" s="341"/>
      <c r="AC64" s="340" t="s">
        <v>183</v>
      </c>
      <c r="AD64" s="341">
        <f>+VLOOKUP($G64,GenRetL!$D$10:$K$194,8,FALSE)</f>
        <v>6000</v>
      </c>
      <c r="AE64" s="341"/>
      <c r="AF64" s="341"/>
      <c r="AG64" s="340" t="s">
        <v>183</v>
      </c>
      <c r="AH64" s="341">
        <f>+VLOOKUP($G64,GenRetS!$D$10:$K$195,8,FALSE)</f>
        <v>6000</v>
      </c>
      <c r="AI64" s="341"/>
      <c r="AJ64" s="341"/>
      <c r="AK64" s="340" t="s">
        <v>183</v>
      </c>
      <c r="AL64" s="341">
        <f>+VLOOKUP($G64,Laundr!$D$10:$K$195,8,FALSE)</f>
        <v>0</v>
      </c>
      <c r="AM64" s="341"/>
      <c r="AN64" s="341"/>
      <c r="AO64" s="342"/>
      <c r="AP64" s="342"/>
    </row>
    <row r="65" spans="1:42" s="71" customFormat="1" ht="12" outlineLevel="1">
      <c r="A65" s="82"/>
      <c r="B65" s="82"/>
      <c r="C65" s="82"/>
      <c r="D65" s="82"/>
      <c r="E65" s="1081"/>
      <c r="F65" s="1082"/>
      <c r="G65" s="338" t="s">
        <v>403</v>
      </c>
      <c r="H65" s="339"/>
      <c r="I65" s="340" t="s">
        <v>184</v>
      </c>
      <c r="J65" s="341"/>
      <c r="K65" s="341">
        <f>+VLOOKUP($G65,Supermarket!$D$61:$K$65,8,FALSE)</f>
        <v>11000</v>
      </c>
      <c r="L65" s="341"/>
      <c r="M65" s="340" t="s">
        <v>184</v>
      </c>
      <c r="N65" s="341"/>
      <c r="O65" s="341">
        <f>+VLOOKUP($G65,PharmacyL!$D$10:$K$194,8,FALSE)</f>
        <v>11000</v>
      </c>
      <c r="P65" s="341"/>
      <c r="Q65" s="340" t="s">
        <v>184</v>
      </c>
      <c r="R65" s="341"/>
      <c r="S65" s="341">
        <f>+VLOOKUP($G65,PharmacyS!$D$10:$K$195,8,FALSE)</f>
        <v>11000</v>
      </c>
      <c r="T65" s="341"/>
      <c r="U65" s="340" t="s">
        <v>184</v>
      </c>
      <c r="V65" s="341"/>
      <c r="W65" s="341">
        <f>+VLOOKUP($G65,HealthCare!$D$10:$K$195,8,FALSE)</f>
        <v>11000</v>
      </c>
      <c r="X65" s="341"/>
      <c r="Y65" s="340" t="s">
        <v>184</v>
      </c>
      <c r="Z65" s="341"/>
      <c r="AA65" s="341">
        <f>+VLOOKUP($G65,Restaurant!$D$10:$K$194,8,FALSE)</f>
        <v>22000</v>
      </c>
      <c r="AB65" s="341"/>
      <c r="AC65" s="340" t="s">
        <v>184</v>
      </c>
      <c r="AD65" s="341"/>
      <c r="AE65" s="341">
        <f>+VLOOKUP($G65,GenRetL!$D$10:$K$194,8,FALSE)</f>
        <v>11000</v>
      </c>
      <c r="AF65" s="341"/>
      <c r="AG65" s="340" t="s">
        <v>184</v>
      </c>
      <c r="AH65" s="341"/>
      <c r="AI65" s="341">
        <f>+VLOOKUP($G65,GenRetS!$D$10:$K$195,8,FALSE)</f>
        <v>11000</v>
      </c>
      <c r="AJ65" s="341"/>
      <c r="AK65" s="340" t="s">
        <v>184</v>
      </c>
      <c r="AL65" s="341"/>
      <c r="AM65" s="341">
        <f>+VLOOKUP($G65,Laundr!$D$10:$K$195,8,FALSE)</f>
        <v>0</v>
      </c>
      <c r="AN65" s="341"/>
      <c r="AO65" s="342"/>
      <c r="AP65" s="342"/>
    </row>
    <row r="66" spans="1:42" s="71" customFormat="1" ht="12" outlineLevel="1">
      <c r="A66" s="82"/>
      <c r="B66" s="82"/>
      <c r="C66" s="82"/>
      <c r="D66" s="82"/>
      <c r="E66" s="1083"/>
      <c r="F66" s="1084"/>
      <c r="G66" s="338" t="s">
        <v>404</v>
      </c>
      <c r="H66" s="339"/>
      <c r="I66" s="340" t="s">
        <v>88</v>
      </c>
      <c r="J66" s="341"/>
      <c r="K66" s="341"/>
      <c r="L66" s="341">
        <f>+VLOOKUP($G66,Supermarket!$D$61:$K$65,8,FALSE)</f>
        <v>0</v>
      </c>
      <c r="M66" s="340" t="s">
        <v>88</v>
      </c>
      <c r="N66" s="341"/>
      <c r="O66" s="341"/>
      <c r="P66" s="341">
        <f>+VLOOKUP($G66,PharmacyL!$D$10:$K$194,8,FALSE)</f>
        <v>0</v>
      </c>
      <c r="Q66" s="340" t="s">
        <v>88</v>
      </c>
      <c r="R66" s="341"/>
      <c r="S66" s="341"/>
      <c r="T66" s="341">
        <f>+VLOOKUP($G66,PharmacyS!$D$10:$K$195,8,FALSE)</f>
        <v>0</v>
      </c>
      <c r="U66" s="340" t="s">
        <v>88</v>
      </c>
      <c r="V66" s="341"/>
      <c r="W66" s="341"/>
      <c r="X66" s="341">
        <f>+VLOOKUP($G66,HealthCare!$D$10:$K$195,8,FALSE)</f>
        <v>0</v>
      </c>
      <c r="Y66" s="340" t="s">
        <v>88</v>
      </c>
      <c r="Z66" s="341"/>
      <c r="AA66" s="341"/>
      <c r="AB66" s="341">
        <f>+VLOOKUP($G66,Restaurant!$D$10:$K$194,8,FALSE)</f>
        <v>0</v>
      </c>
      <c r="AC66" s="340" t="s">
        <v>88</v>
      </c>
      <c r="AD66" s="341"/>
      <c r="AE66" s="341"/>
      <c r="AF66" s="341">
        <f>+VLOOKUP($G66,GenRetL!$D$10:$K$194,8,FALSE)</f>
        <v>0</v>
      </c>
      <c r="AG66" s="340" t="s">
        <v>88</v>
      </c>
      <c r="AH66" s="341"/>
      <c r="AI66" s="341"/>
      <c r="AJ66" s="341">
        <f>+VLOOKUP($G66,GenRetS!$D$10:$K$195,8,FALSE)</f>
        <v>0</v>
      </c>
      <c r="AK66" s="340" t="s">
        <v>88</v>
      </c>
      <c r="AL66" s="341"/>
      <c r="AM66" s="341"/>
      <c r="AN66" s="341">
        <f>+VLOOKUP($G66,Laundr!$D$10:$K$195,8,FALSE)</f>
        <v>0</v>
      </c>
      <c r="AO66" s="342"/>
      <c r="AP66" s="342"/>
    </row>
    <row r="67" spans="1:42" s="85" customFormat="1" ht="12">
      <c r="A67" s="84"/>
      <c r="B67" s="84"/>
      <c r="C67" s="84"/>
      <c r="D67" s="84"/>
      <c r="E67" s="334">
        <v>1.6</v>
      </c>
      <c r="F67" s="1108" t="s">
        <v>18</v>
      </c>
      <c r="G67" s="1109"/>
      <c r="H67" s="1110"/>
      <c r="I67" s="340"/>
      <c r="J67" s="341"/>
      <c r="K67" s="341"/>
      <c r="L67" s="341"/>
      <c r="M67" s="340"/>
      <c r="N67" s="341"/>
      <c r="O67" s="341"/>
      <c r="P67" s="341"/>
      <c r="Q67" s="340"/>
      <c r="R67" s="341"/>
      <c r="S67" s="341"/>
      <c r="T67" s="341"/>
      <c r="U67" s="340"/>
      <c r="V67" s="341"/>
      <c r="W67" s="341"/>
      <c r="X67" s="341"/>
      <c r="Y67" s="340"/>
      <c r="Z67" s="341"/>
      <c r="AA67" s="341"/>
      <c r="AB67" s="341"/>
      <c r="AC67" s="340"/>
      <c r="AD67" s="341"/>
      <c r="AE67" s="341"/>
      <c r="AF67" s="341"/>
      <c r="AG67" s="340"/>
      <c r="AH67" s="341"/>
      <c r="AI67" s="341"/>
      <c r="AJ67" s="341"/>
      <c r="AK67" s="340"/>
      <c r="AL67" s="341"/>
      <c r="AM67" s="341"/>
      <c r="AN67" s="341"/>
      <c r="AO67" s="342"/>
      <c r="AP67" s="342"/>
    </row>
    <row r="68" spans="1:42" s="71" customFormat="1" ht="12" outlineLevel="1">
      <c r="A68" s="82"/>
      <c r="B68" s="82"/>
      <c r="C68" s="82"/>
      <c r="D68" s="82"/>
      <c r="E68" s="1079" t="s">
        <v>5</v>
      </c>
      <c r="F68" s="1080"/>
      <c r="G68" s="1085" t="s">
        <v>286</v>
      </c>
      <c r="H68" s="1086"/>
      <c r="I68" s="340"/>
      <c r="J68" s="341"/>
      <c r="K68" s="341"/>
      <c r="L68" s="341"/>
      <c r="M68" s="340"/>
      <c r="N68" s="341"/>
      <c r="O68" s="341"/>
      <c r="P68" s="341"/>
      <c r="Q68" s="340"/>
      <c r="R68" s="341"/>
      <c r="S68" s="341"/>
      <c r="T68" s="341"/>
      <c r="U68" s="340"/>
      <c r="V68" s="341"/>
      <c r="W68" s="341"/>
      <c r="X68" s="341"/>
      <c r="Y68" s="340"/>
      <c r="Z68" s="341"/>
      <c r="AA68" s="341"/>
      <c r="AB68" s="341"/>
      <c r="AC68" s="340"/>
      <c r="AD68" s="341"/>
      <c r="AE68" s="341"/>
      <c r="AF68" s="341"/>
      <c r="AG68" s="340"/>
      <c r="AH68" s="341"/>
      <c r="AI68" s="341"/>
      <c r="AJ68" s="341"/>
      <c r="AK68" s="340"/>
      <c r="AL68" s="341"/>
      <c r="AM68" s="341"/>
      <c r="AN68" s="341"/>
      <c r="AO68" s="342"/>
      <c r="AP68" s="342"/>
    </row>
    <row r="69" spans="1:42" s="71" customFormat="1" ht="12" outlineLevel="1">
      <c r="A69" s="82"/>
      <c r="B69" s="82"/>
      <c r="C69" s="82"/>
      <c r="D69" s="82"/>
      <c r="E69" s="1081"/>
      <c r="F69" s="1082"/>
      <c r="G69" s="338" t="s">
        <v>405</v>
      </c>
      <c r="H69" s="339"/>
      <c r="I69" s="340" t="s">
        <v>187</v>
      </c>
      <c r="J69" s="341">
        <f>+VLOOKUP($G69,Supermarket!$D$67:$K$70,8,FALSE)</f>
        <v>1500</v>
      </c>
      <c r="K69" s="341"/>
      <c r="L69" s="341"/>
      <c r="M69" s="340" t="s">
        <v>88</v>
      </c>
      <c r="N69" s="341">
        <f>+VLOOKUP($G69,PharmacyL!$D$10:$K$194,8,FALSE)</f>
        <v>0</v>
      </c>
      <c r="O69" s="341"/>
      <c r="P69" s="341"/>
      <c r="Q69" s="340" t="s">
        <v>88</v>
      </c>
      <c r="R69" s="341">
        <f>+VLOOKUP($G69,PharmacyS!$D$10:$K$195,8,FALSE)</f>
        <v>0</v>
      </c>
      <c r="S69" s="341"/>
      <c r="T69" s="341"/>
      <c r="U69" s="340" t="s">
        <v>88</v>
      </c>
      <c r="V69" s="341">
        <f>+VLOOKUP($G69,HealthCare!$D$10:$K$195,8,FALSE)</f>
        <v>0</v>
      </c>
      <c r="W69" s="341"/>
      <c r="X69" s="341"/>
      <c r="Y69" s="340" t="s">
        <v>187</v>
      </c>
      <c r="Z69" s="341">
        <f>+VLOOKUP($G69,Restaurant!$D$10:$K$194,8,FALSE)</f>
        <v>1600</v>
      </c>
      <c r="AA69" s="341"/>
      <c r="AB69" s="341"/>
      <c r="AC69" s="340" t="s">
        <v>88</v>
      </c>
      <c r="AD69" s="341">
        <f>+VLOOKUP($G69,GenRetL!$D$10:$K$194,8,FALSE)</f>
        <v>0</v>
      </c>
      <c r="AE69" s="341"/>
      <c r="AF69" s="341"/>
      <c r="AG69" s="340" t="s">
        <v>88</v>
      </c>
      <c r="AH69" s="341">
        <f>+VLOOKUP($G69,GenRetS!$D$10:$K$195,8,FALSE)</f>
        <v>0</v>
      </c>
      <c r="AI69" s="341"/>
      <c r="AJ69" s="341"/>
      <c r="AK69" s="340" t="s">
        <v>88</v>
      </c>
      <c r="AL69" s="341">
        <f>+VLOOKUP($G69,Laundr!$D$10:$K$195,8,FALSE)</f>
        <v>0</v>
      </c>
      <c r="AM69" s="341"/>
      <c r="AN69" s="341"/>
      <c r="AO69" s="342"/>
      <c r="AP69" s="342"/>
    </row>
    <row r="70" spans="1:42" s="71" customFormat="1" ht="12" outlineLevel="1">
      <c r="A70" s="82"/>
      <c r="B70" s="82"/>
      <c r="C70" s="82"/>
      <c r="D70" s="82"/>
      <c r="E70" s="1081"/>
      <c r="F70" s="1082"/>
      <c r="G70" s="338" t="s">
        <v>406</v>
      </c>
      <c r="H70" s="339"/>
      <c r="I70" s="340" t="s">
        <v>188</v>
      </c>
      <c r="J70" s="341"/>
      <c r="K70" s="341">
        <f>+VLOOKUP($G70,Supermarket!$D$67:$K$70,8,FALSE)</f>
        <v>10000</v>
      </c>
      <c r="L70" s="341"/>
      <c r="M70" s="340" t="s">
        <v>88</v>
      </c>
      <c r="N70" s="341"/>
      <c r="O70" s="341">
        <f>+VLOOKUP($G70,PharmacyL!$D$10:$K$194,8,FALSE)</f>
        <v>0</v>
      </c>
      <c r="P70" s="341"/>
      <c r="Q70" s="340" t="s">
        <v>88</v>
      </c>
      <c r="R70" s="341"/>
      <c r="S70" s="341">
        <f>+VLOOKUP($G70,PharmacyS!$D$10:$K$195,8,FALSE)</f>
        <v>0</v>
      </c>
      <c r="T70" s="341"/>
      <c r="U70" s="340" t="s">
        <v>88</v>
      </c>
      <c r="V70" s="341"/>
      <c r="W70" s="341">
        <f>+VLOOKUP($G70,HealthCare!$D$10:$K$195,8,FALSE)</f>
        <v>0</v>
      </c>
      <c r="X70" s="341"/>
      <c r="Y70" s="340" t="s">
        <v>188</v>
      </c>
      <c r="Z70" s="341"/>
      <c r="AA70" s="341">
        <f>+VLOOKUP($G70,Restaurant!$D$10:$K$194,8,FALSE)</f>
        <v>10000</v>
      </c>
      <c r="AB70" s="341"/>
      <c r="AC70" s="340" t="s">
        <v>88</v>
      </c>
      <c r="AD70" s="341"/>
      <c r="AE70" s="341">
        <f>+VLOOKUP($G70,GenRetL!$D$10:$K$194,8,FALSE)</f>
        <v>0</v>
      </c>
      <c r="AF70" s="341"/>
      <c r="AG70" s="340" t="s">
        <v>88</v>
      </c>
      <c r="AH70" s="341"/>
      <c r="AI70" s="341">
        <f>+VLOOKUP($G70,GenRetS!$D$10:$K$195,8,FALSE)</f>
        <v>0</v>
      </c>
      <c r="AJ70" s="341"/>
      <c r="AK70" s="340" t="s">
        <v>88</v>
      </c>
      <c r="AL70" s="341"/>
      <c r="AM70" s="341">
        <f>+VLOOKUP($G70,Laundr!$D$10:$K$195,8,FALSE)</f>
        <v>0</v>
      </c>
      <c r="AN70" s="341"/>
      <c r="AO70" s="342"/>
      <c r="AP70" s="342"/>
    </row>
    <row r="71" spans="1:42" s="71" customFormat="1" ht="12" outlineLevel="1">
      <c r="A71" s="82"/>
      <c r="B71" s="82"/>
      <c r="C71" s="82"/>
      <c r="D71" s="82"/>
      <c r="E71" s="1083"/>
      <c r="F71" s="1084"/>
      <c r="G71" s="338" t="s">
        <v>407</v>
      </c>
      <c r="H71" s="339"/>
      <c r="I71" s="340" t="s">
        <v>189</v>
      </c>
      <c r="J71" s="341"/>
      <c r="K71" s="341"/>
      <c r="L71" s="341">
        <f>+VLOOKUP($G71,Supermarket!$D$67:$K$70,8,FALSE)</f>
        <v>15000</v>
      </c>
      <c r="M71" s="340" t="s">
        <v>88</v>
      </c>
      <c r="N71" s="341"/>
      <c r="O71" s="341"/>
      <c r="P71" s="341">
        <f>+VLOOKUP($G71,PharmacyL!$D$10:$K$194,8,FALSE)</f>
        <v>0</v>
      </c>
      <c r="Q71" s="340" t="s">
        <v>88</v>
      </c>
      <c r="R71" s="341"/>
      <c r="S71" s="341"/>
      <c r="T71" s="341">
        <f>+VLOOKUP($G71,PharmacyS!$D$10:$K$195,8,FALSE)</f>
        <v>0</v>
      </c>
      <c r="U71" s="340" t="s">
        <v>88</v>
      </c>
      <c r="V71" s="341"/>
      <c r="W71" s="341"/>
      <c r="X71" s="341">
        <f>+VLOOKUP($G71,HealthCare!$D$10:$K$195,8,FALSE)</f>
        <v>0</v>
      </c>
      <c r="Y71" s="340" t="s">
        <v>189</v>
      </c>
      <c r="Z71" s="341"/>
      <c r="AA71" s="341"/>
      <c r="AB71" s="341">
        <f>+VLOOKUP($G71,Restaurant!$D$10:$K$194,8,FALSE)</f>
        <v>15000</v>
      </c>
      <c r="AC71" s="340" t="s">
        <v>88</v>
      </c>
      <c r="AD71" s="341"/>
      <c r="AE71" s="341"/>
      <c r="AF71" s="341">
        <f>+VLOOKUP($G71,GenRetL!$D$10:$K$194,8,FALSE)</f>
        <v>0</v>
      </c>
      <c r="AG71" s="340" t="s">
        <v>88</v>
      </c>
      <c r="AH71" s="341"/>
      <c r="AI71" s="341"/>
      <c r="AJ71" s="341">
        <f>+VLOOKUP($G71,GenRetS!$D$10:$K$195,8,FALSE)</f>
        <v>0</v>
      </c>
      <c r="AK71" s="340" t="s">
        <v>88</v>
      </c>
      <c r="AL71" s="341"/>
      <c r="AM71" s="341"/>
      <c r="AN71" s="341">
        <f>+VLOOKUP($G71,Laundr!$D$10:$K$195,8,FALSE)</f>
        <v>0</v>
      </c>
      <c r="AO71" s="342"/>
      <c r="AP71" s="342"/>
    </row>
    <row r="72" spans="1:42" s="85" customFormat="1" ht="12">
      <c r="A72" s="84"/>
      <c r="B72" s="84"/>
      <c r="C72" s="84"/>
      <c r="D72" s="84"/>
      <c r="E72" s="334">
        <v>1.7</v>
      </c>
      <c r="F72" s="1108" t="s">
        <v>33</v>
      </c>
      <c r="G72" s="1109"/>
      <c r="H72" s="1110"/>
      <c r="I72" s="340"/>
      <c r="J72" s="341"/>
      <c r="K72" s="341"/>
      <c r="L72" s="341"/>
      <c r="M72" s="340"/>
      <c r="N72" s="341"/>
      <c r="O72" s="341"/>
      <c r="P72" s="341"/>
      <c r="Q72" s="340"/>
      <c r="R72" s="341"/>
      <c r="S72" s="341"/>
      <c r="T72" s="341"/>
      <c r="U72" s="340"/>
      <c r="V72" s="341"/>
      <c r="W72" s="341"/>
      <c r="X72" s="341"/>
      <c r="Y72" s="340"/>
      <c r="Z72" s="341"/>
      <c r="AA72" s="341"/>
      <c r="AB72" s="341"/>
      <c r="AC72" s="340"/>
      <c r="AD72" s="341"/>
      <c r="AE72" s="341"/>
      <c r="AF72" s="341"/>
      <c r="AG72" s="340"/>
      <c r="AH72" s="341"/>
      <c r="AI72" s="341"/>
      <c r="AJ72" s="341"/>
      <c r="AK72" s="340"/>
      <c r="AL72" s="341"/>
      <c r="AM72" s="341"/>
      <c r="AN72" s="341"/>
      <c r="AO72" s="342"/>
      <c r="AP72" s="342"/>
    </row>
    <row r="73" spans="1:42" s="71" customFormat="1" ht="12" outlineLevel="1">
      <c r="A73" s="82"/>
      <c r="B73" s="82"/>
      <c r="C73" s="82"/>
      <c r="D73" s="82"/>
      <c r="E73" s="1079" t="s">
        <v>5</v>
      </c>
      <c r="F73" s="1080"/>
      <c r="G73" s="1085" t="s">
        <v>19</v>
      </c>
      <c r="H73" s="1086"/>
      <c r="I73" s="340"/>
      <c r="J73" s="341"/>
      <c r="K73" s="341"/>
      <c r="L73" s="341"/>
      <c r="M73" s="340"/>
      <c r="N73" s="341"/>
      <c r="O73" s="341"/>
      <c r="P73" s="341"/>
      <c r="Q73" s="340"/>
      <c r="R73" s="341"/>
      <c r="S73" s="341"/>
      <c r="T73" s="341"/>
      <c r="U73" s="340"/>
      <c r="V73" s="341"/>
      <c r="W73" s="341"/>
      <c r="X73" s="341"/>
      <c r="Y73" s="340"/>
      <c r="Z73" s="341"/>
      <c r="AA73" s="341"/>
      <c r="AB73" s="341"/>
      <c r="AC73" s="340"/>
      <c r="AD73" s="341"/>
      <c r="AE73" s="341"/>
      <c r="AF73" s="341"/>
      <c r="AG73" s="340"/>
      <c r="AH73" s="341"/>
      <c r="AI73" s="341"/>
      <c r="AJ73" s="341"/>
      <c r="AK73" s="340"/>
      <c r="AL73" s="341"/>
      <c r="AM73" s="341"/>
      <c r="AN73" s="341"/>
      <c r="AO73" s="342"/>
      <c r="AP73" s="342"/>
    </row>
    <row r="74" spans="1:42" s="71" customFormat="1" ht="12" outlineLevel="1">
      <c r="A74" s="82"/>
      <c r="B74" s="82"/>
      <c r="C74" s="82"/>
      <c r="D74" s="82"/>
      <c r="E74" s="1081"/>
      <c r="F74" s="1082"/>
      <c r="G74" s="338" t="s">
        <v>408</v>
      </c>
      <c r="H74" s="340"/>
      <c r="I74" s="340" t="s">
        <v>88</v>
      </c>
      <c r="J74" s="341">
        <f>+VLOOKUP($G74,Supermarket!$D$72:$K$95,8,FALSE)</f>
        <v>0</v>
      </c>
      <c r="K74" s="341"/>
      <c r="L74" s="341"/>
      <c r="M74" s="340" t="s">
        <v>88</v>
      </c>
      <c r="N74" s="341">
        <f>+VLOOKUP($G74,PharmacyL!$D$10:$K$194,8,FALSE)</f>
        <v>0</v>
      </c>
      <c r="O74" s="341"/>
      <c r="P74" s="341"/>
      <c r="Q74" s="340" t="s">
        <v>88</v>
      </c>
      <c r="R74" s="341">
        <f>+VLOOKUP($G74,PharmacyS!$D$10:$K$195,8,FALSE)</f>
        <v>0</v>
      </c>
      <c r="S74" s="341"/>
      <c r="T74" s="341"/>
      <c r="U74" s="340" t="s">
        <v>88</v>
      </c>
      <c r="V74" s="341">
        <f>+VLOOKUP($G74,HealthCare!$D$10:$K$195,8,FALSE)</f>
        <v>0</v>
      </c>
      <c r="W74" s="341"/>
      <c r="X74" s="341"/>
      <c r="Y74" s="340" t="s">
        <v>88</v>
      </c>
      <c r="Z74" s="341">
        <f>+VLOOKUP($G74,Restaurant!$D$10:$K$194,8,FALSE)</f>
        <v>0</v>
      </c>
      <c r="AA74" s="341"/>
      <c r="AB74" s="341"/>
      <c r="AC74" s="340" t="s">
        <v>88</v>
      </c>
      <c r="AD74" s="341">
        <f>+VLOOKUP($G74,GenRetL!$D$10:$K$194,8,FALSE)</f>
        <v>0</v>
      </c>
      <c r="AE74" s="341"/>
      <c r="AF74" s="341"/>
      <c r="AG74" s="340" t="s">
        <v>88</v>
      </c>
      <c r="AH74" s="341">
        <f>+VLOOKUP($G74,GenRetS!$D$10:$K$195,8,FALSE)</f>
        <v>0</v>
      </c>
      <c r="AI74" s="341"/>
      <c r="AJ74" s="341"/>
      <c r="AK74" s="340" t="s">
        <v>88</v>
      </c>
      <c r="AL74" s="341">
        <f>+VLOOKUP($G74,Laundr!$D$10:$K$195,8,FALSE)</f>
        <v>0</v>
      </c>
      <c r="AM74" s="341"/>
      <c r="AN74" s="341"/>
      <c r="AO74" s="342"/>
      <c r="AP74" s="342"/>
    </row>
    <row r="75" spans="1:42" s="71" customFormat="1" ht="12" outlineLevel="1">
      <c r="A75" s="82"/>
      <c r="B75" s="82"/>
      <c r="C75" s="82"/>
      <c r="D75" s="82"/>
      <c r="E75" s="1081"/>
      <c r="F75" s="1082"/>
      <c r="G75" s="338" t="s">
        <v>409</v>
      </c>
      <c r="H75" s="339"/>
      <c r="I75" s="340" t="s">
        <v>88</v>
      </c>
      <c r="J75" s="341"/>
      <c r="K75" s="341">
        <f>+VLOOKUP($G75,Supermarket!$D$72:$K$95,8,FALSE)</f>
        <v>0</v>
      </c>
      <c r="L75" s="341"/>
      <c r="M75" s="340" t="s">
        <v>88</v>
      </c>
      <c r="N75" s="341"/>
      <c r="O75" s="341">
        <f>+VLOOKUP($G75,PharmacyL!$D$10:$K$194,8,FALSE)</f>
        <v>0</v>
      </c>
      <c r="P75" s="341"/>
      <c r="Q75" s="340" t="s">
        <v>88</v>
      </c>
      <c r="R75" s="341"/>
      <c r="S75" s="341">
        <f>+VLOOKUP($G75,PharmacyS!$D$10:$K$195,8,FALSE)</f>
        <v>0</v>
      </c>
      <c r="T75" s="341"/>
      <c r="U75" s="340" t="s">
        <v>88</v>
      </c>
      <c r="V75" s="341"/>
      <c r="W75" s="341">
        <f>+VLOOKUP($G75,HealthCare!$D$10:$K$195,8,FALSE)</f>
        <v>0</v>
      </c>
      <c r="X75" s="341"/>
      <c r="Y75" s="340" t="s">
        <v>88</v>
      </c>
      <c r="Z75" s="341"/>
      <c r="AA75" s="341">
        <f>+VLOOKUP($G75,Restaurant!$D$10:$K$194,8,FALSE)</f>
        <v>0</v>
      </c>
      <c r="AB75" s="341"/>
      <c r="AC75" s="340" t="s">
        <v>88</v>
      </c>
      <c r="AD75" s="341"/>
      <c r="AE75" s="341">
        <f>+VLOOKUP($G75,GenRetL!$D$10:$K$194,8,FALSE)</f>
        <v>0</v>
      </c>
      <c r="AF75" s="341"/>
      <c r="AG75" s="340" t="s">
        <v>88</v>
      </c>
      <c r="AH75" s="341"/>
      <c r="AI75" s="341">
        <f>+VLOOKUP($G75,GenRetS!$D$10:$K$195,8,FALSE)</f>
        <v>0</v>
      </c>
      <c r="AJ75" s="341"/>
      <c r="AK75" s="340" t="s">
        <v>88</v>
      </c>
      <c r="AL75" s="341"/>
      <c r="AM75" s="341">
        <f>+VLOOKUP($G75,Laundr!$D$10:$K$195,8,FALSE)</f>
        <v>0</v>
      </c>
      <c r="AN75" s="341"/>
      <c r="AO75" s="342"/>
      <c r="AP75" s="342"/>
    </row>
    <row r="76" spans="1:42" s="71" customFormat="1" ht="24" outlineLevel="1">
      <c r="A76" s="82"/>
      <c r="B76" s="82"/>
      <c r="C76" s="82"/>
      <c r="D76" s="82"/>
      <c r="E76" s="1083"/>
      <c r="F76" s="1084"/>
      <c r="G76" s="338" t="s">
        <v>410</v>
      </c>
      <c r="H76" s="339"/>
      <c r="I76" s="340" t="s">
        <v>287</v>
      </c>
      <c r="J76" s="341"/>
      <c r="K76" s="341"/>
      <c r="L76" s="341" t="e">
        <f>+VLOOKUP($G76,Supermarket!$D$72:$K$95,8,FALSE)</f>
        <v>#N/A</v>
      </c>
      <c r="M76" s="340" t="s">
        <v>288</v>
      </c>
      <c r="N76" s="341"/>
      <c r="O76" s="341"/>
      <c r="P76" s="341">
        <f>+VLOOKUP($G76,PharmacyL!$D$10:$K$194,8,FALSE)</f>
        <v>90190</v>
      </c>
      <c r="Q76" s="340" t="s">
        <v>288</v>
      </c>
      <c r="R76" s="341"/>
      <c r="S76" s="341"/>
      <c r="T76" s="341">
        <f>+VLOOKUP($G76,PharmacyS!$D$10:$K$195,8,FALSE)</f>
        <v>46250</v>
      </c>
      <c r="U76" s="340" t="s">
        <v>289</v>
      </c>
      <c r="V76" s="341"/>
      <c r="W76" s="341"/>
      <c r="X76" s="341">
        <f>+VLOOKUP($G76,HealthCare!$D$10:$K$195,8,FALSE)</f>
        <v>27500</v>
      </c>
      <c r="Y76" s="340" t="s">
        <v>288</v>
      </c>
      <c r="Z76" s="341"/>
      <c r="AA76" s="341"/>
      <c r="AB76" s="341">
        <f>+VLOOKUP($G76,Restaurant!$D$10:$K$194,8,FALSE)</f>
        <v>35000</v>
      </c>
      <c r="AC76" s="340" t="s">
        <v>290</v>
      </c>
      <c r="AD76" s="341"/>
      <c r="AE76" s="341"/>
      <c r="AF76" s="341">
        <f>+VLOOKUP($G76,GenRetL!$D$10:$K$194,8,FALSE)</f>
        <v>27500</v>
      </c>
      <c r="AG76" s="340" t="s">
        <v>290</v>
      </c>
      <c r="AH76" s="341"/>
      <c r="AI76" s="341"/>
      <c r="AJ76" s="341">
        <f>+VLOOKUP($G76,GenRetS!$D$10:$K$195,8,FALSE)</f>
        <v>19000</v>
      </c>
      <c r="AK76" s="340" t="s">
        <v>290</v>
      </c>
      <c r="AL76" s="341"/>
      <c r="AM76" s="341"/>
      <c r="AN76" s="341">
        <f>+VLOOKUP($G76,Laundr!$D$10:$K$195,8,FALSE)</f>
        <v>19000</v>
      </c>
      <c r="AO76" s="342"/>
      <c r="AP76" s="342"/>
    </row>
    <row r="77" spans="1:42" s="71" customFormat="1" ht="12" outlineLevel="1">
      <c r="A77" s="82"/>
      <c r="B77" s="82"/>
      <c r="C77" s="82"/>
      <c r="D77" s="82"/>
      <c r="E77" s="1079" t="s">
        <v>6</v>
      </c>
      <c r="F77" s="1080"/>
      <c r="G77" s="1085" t="s">
        <v>20</v>
      </c>
      <c r="H77" s="1086"/>
      <c r="I77" s="340"/>
      <c r="J77" s="341"/>
      <c r="K77" s="341"/>
      <c r="L77" s="341"/>
      <c r="M77" s="340"/>
      <c r="N77" s="341"/>
      <c r="O77" s="341"/>
      <c r="P77" s="341"/>
      <c r="Q77" s="340"/>
      <c r="R77" s="341"/>
      <c r="S77" s="341"/>
      <c r="T77" s="341"/>
      <c r="U77" s="340"/>
      <c r="V77" s="341"/>
      <c r="W77" s="341"/>
      <c r="X77" s="341"/>
      <c r="Y77" s="340"/>
      <c r="Z77" s="341"/>
      <c r="AA77" s="341"/>
      <c r="AB77" s="341"/>
      <c r="AC77" s="340"/>
      <c r="AD77" s="341"/>
      <c r="AE77" s="341"/>
      <c r="AF77" s="341"/>
      <c r="AG77" s="340"/>
      <c r="AH77" s="341"/>
      <c r="AI77" s="341"/>
      <c r="AJ77" s="341"/>
      <c r="AK77" s="340"/>
      <c r="AL77" s="341"/>
      <c r="AM77" s="341"/>
      <c r="AN77" s="341"/>
      <c r="AO77" s="342"/>
      <c r="AP77" s="342"/>
    </row>
    <row r="78" spans="1:42" s="71" customFormat="1" ht="12" outlineLevel="1">
      <c r="A78" s="82"/>
      <c r="B78" s="82"/>
      <c r="C78" s="82"/>
      <c r="D78" s="82"/>
      <c r="E78" s="1081"/>
      <c r="F78" s="1082"/>
      <c r="G78" s="338" t="s">
        <v>411</v>
      </c>
      <c r="H78" s="339"/>
      <c r="I78" s="340" t="s">
        <v>88</v>
      </c>
      <c r="J78" s="341">
        <f>+VLOOKUP($G78,Supermarket!$D$72:$K$95,8,FALSE)</f>
        <v>0</v>
      </c>
      <c r="K78" s="341"/>
      <c r="L78" s="341"/>
      <c r="M78" s="340" t="s">
        <v>88</v>
      </c>
      <c r="N78" s="341">
        <f>+VLOOKUP($G78,PharmacyL!$D$10:$K$194,8,FALSE)</f>
        <v>0</v>
      </c>
      <c r="O78" s="341"/>
      <c r="P78" s="341"/>
      <c r="Q78" s="340" t="s">
        <v>88</v>
      </c>
      <c r="R78" s="341">
        <f>+VLOOKUP($G78,PharmacyS!$D$10:$K$195,8,FALSE)</f>
        <v>0</v>
      </c>
      <c r="S78" s="341"/>
      <c r="T78" s="341"/>
      <c r="U78" s="340" t="s">
        <v>88</v>
      </c>
      <c r="V78" s="341">
        <f>+VLOOKUP($G78,HealthCare!$D$10:$K$195,8,FALSE)</f>
        <v>0</v>
      </c>
      <c r="W78" s="341"/>
      <c r="X78" s="341"/>
      <c r="Y78" s="340" t="s">
        <v>88</v>
      </c>
      <c r="Z78" s="341">
        <f>+VLOOKUP($G78,Restaurant!$D$10:$K$194,8,FALSE)</f>
        <v>0</v>
      </c>
      <c r="AA78" s="341"/>
      <c r="AB78" s="341"/>
      <c r="AC78" s="340" t="s">
        <v>88</v>
      </c>
      <c r="AD78" s="341">
        <f>+VLOOKUP($G78,GenRetL!$D$10:$K$194,8,FALSE)</f>
        <v>0</v>
      </c>
      <c r="AE78" s="341"/>
      <c r="AF78" s="341"/>
      <c r="AG78" s="340" t="s">
        <v>88</v>
      </c>
      <c r="AH78" s="341">
        <f>+VLOOKUP($G78,GenRetS!$D$10:$K$195,8,FALSE)</f>
        <v>0</v>
      </c>
      <c r="AI78" s="341"/>
      <c r="AJ78" s="341"/>
      <c r="AK78" s="340" t="s">
        <v>88</v>
      </c>
      <c r="AL78" s="341">
        <f>+VLOOKUP($G78,Laundr!$D$10:$K$195,8,FALSE)</f>
        <v>0</v>
      </c>
      <c r="AM78" s="341"/>
      <c r="AN78" s="341"/>
      <c r="AO78" s="342"/>
      <c r="AP78" s="342"/>
    </row>
    <row r="79" spans="1:42" s="71" customFormat="1" ht="12" outlineLevel="1">
      <c r="A79" s="82"/>
      <c r="B79" s="82"/>
      <c r="C79" s="82"/>
      <c r="D79" s="82"/>
      <c r="E79" s="1081"/>
      <c r="F79" s="1082"/>
      <c r="G79" s="338" t="s">
        <v>412</v>
      </c>
      <c r="H79" s="339"/>
      <c r="I79" s="340" t="s">
        <v>88</v>
      </c>
      <c r="J79" s="341"/>
      <c r="K79" s="341">
        <f>+VLOOKUP($G79,Supermarket!$D$72:$K$95,8,FALSE)</f>
        <v>0</v>
      </c>
      <c r="L79" s="341"/>
      <c r="M79" s="340" t="s">
        <v>88</v>
      </c>
      <c r="N79" s="341"/>
      <c r="O79" s="341">
        <f>+VLOOKUP($G79,PharmacyL!$D$10:$K$194,8,FALSE)</f>
        <v>0</v>
      </c>
      <c r="P79" s="341"/>
      <c r="Q79" s="340" t="s">
        <v>88</v>
      </c>
      <c r="R79" s="341"/>
      <c r="S79" s="341">
        <f>+VLOOKUP($G79,PharmacyS!$D$10:$K$195,8,FALSE)</f>
        <v>0</v>
      </c>
      <c r="T79" s="341"/>
      <c r="U79" s="340" t="s">
        <v>88</v>
      </c>
      <c r="V79" s="341"/>
      <c r="W79" s="341">
        <f>+VLOOKUP($G79,HealthCare!$D$10:$K$195,8,FALSE)</f>
        <v>0</v>
      </c>
      <c r="X79" s="341"/>
      <c r="Y79" s="340" t="s">
        <v>88</v>
      </c>
      <c r="Z79" s="341"/>
      <c r="AA79" s="341">
        <f>+VLOOKUP($G79,Restaurant!$D$10:$K$194,8,FALSE)</f>
        <v>0</v>
      </c>
      <c r="AB79" s="341"/>
      <c r="AC79" s="340" t="s">
        <v>88</v>
      </c>
      <c r="AD79" s="341"/>
      <c r="AE79" s="341">
        <f>+VLOOKUP($G79,GenRetL!$D$10:$K$194,8,FALSE)</f>
        <v>0</v>
      </c>
      <c r="AF79" s="341"/>
      <c r="AG79" s="340" t="s">
        <v>88</v>
      </c>
      <c r="AH79" s="341"/>
      <c r="AI79" s="341">
        <f>+VLOOKUP($G79,GenRetS!$D$10:$K$195,8,FALSE)</f>
        <v>0</v>
      </c>
      <c r="AJ79" s="341"/>
      <c r="AK79" s="340" t="s">
        <v>88</v>
      </c>
      <c r="AL79" s="341"/>
      <c r="AM79" s="341">
        <f>+VLOOKUP($G79,Laundr!$D$10:$K$195,8,FALSE)</f>
        <v>0</v>
      </c>
      <c r="AN79" s="341">
        <f>+VLOOKUP($G79,Laundr!$D$10:$K$195,8,FALSE)</f>
        <v>0</v>
      </c>
      <c r="AO79" s="342"/>
      <c r="AP79" s="342"/>
    </row>
    <row r="80" spans="1:42" s="71" customFormat="1" ht="24" outlineLevel="1">
      <c r="A80" s="82"/>
      <c r="B80" s="82"/>
      <c r="C80" s="82"/>
      <c r="D80" s="82"/>
      <c r="E80" s="1083"/>
      <c r="F80" s="1084"/>
      <c r="G80" s="338" t="s">
        <v>413</v>
      </c>
      <c r="H80" s="339"/>
      <c r="I80" s="340" t="s">
        <v>287</v>
      </c>
      <c r="J80" s="341"/>
      <c r="K80" s="341"/>
      <c r="L80" s="341" t="e">
        <f>+VLOOKUP($G80,Supermarket!$D$72:$K$95,8,FALSE)</f>
        <v>#N/A</v>
      </c>
      <c r="M80" s="340" t="s">
        <v>288</v>
      </c>
      <c r="N80" s="341"/>
      <c r="O80" s="341"/>
      <c r="P80" s="341">
        <f>+VLOOKUP($G80,PharmacyL!$D$10:$K$194,8,FALSE)</f>
        <v>90190</v>
      </c>
      <c r="Q80" s="340" t="s">
        <v>288</v>
      </c>
      <c r="R80" s="341"/>
      <c r="S80" s="341"/>
      <c r="T80" s="341">
        <f>+VLOOKUP($G80,PharmacyS!$D$10:$K$195,8,FALSE)</f>
        <v>46250</v>
      </c>
      <c r="U80" s="340" t="s">
        <v>289</v>
      </c>
      <c r="V80" s="341"/>
      <c r="W80" s="341"/>
      <c r="X80" s="341">
        <f>+VLOOKUP($G80,HealthCare!$D$10:$K$195,8,FALSE)</f>
        <v>27500</v>
      </c>
      <c r="Y80" s="340" t="s">
        <v>288</v>
      </c>
      <c r="Z80" s="341"/>
      <c r="AA80" s="341"/>
      <c r="AB80" s="341">
        <f>+VLOOKUP($G80,Restaurant!$D$10:$K$194,8,FALSE)</f>
        <v>35000</v>
      </c>
      <c r="AC80" s="340" t="s">
        <v>290</v>
      </c>
      <c r="AD80" s="341"/>
      <c r="AE80" s="341"/>
      <c r="AF80" s="341">
        <f>+VLOOKUP($G80,GenRetL!$D$10:$K$194,8,FALSE)</f>
        <v>27500</v>
      </c>
      <c r="AG80" s="340" t="s">
        <v>290</v>
      </c>
      <c r="AH80" s="341"/>
      <c r="AI80" s="341"/>
      <c r="AJ80" s="341">
        <f>+VLOOKUP($G80,GenRetS!$D$10:$K$195,8,FALSE)</f>
        <v>19000</v>
      </c>
      <c r="AK80" s="340" t="s">
        <v>290</v>
      </c>
      <c r="AL80" s="341"/>
      <c r="AM80" s="341"/>
      <c r="AN80" s="341"/>
      <c r="AO80" s="342"/>
      <c r="AP80" s="342"/>
    </row>
    <row r="81" spans="1:42" s="71" customFormat="1" ht="12" outlineLevel="1">
      <c r="A81" s="82"/>
      <c r="B81" s="82"/>
      <c r="C81" s="82"/>
      <c r="D81" s="82"/>
      <c r="E81" s="1079" t="s">
        <v>7</v>
      </c>
      <c r="F81" s="1080"/>
      <c r="G81" s="1085" t="s">
        <v>21</v>
      </c>
      <c r="H81" s="1086"/>
      <c r="I81" s="340"/>
      <c r="J81" s="341"/>
      <c r="K81" s="341"/>
      <c r="L81" s="341"/>
      <c r="M81" s="340"/>
      <c r="N81" s="341"/>
      <c r="O81" s="341"/>
      <c r="P81" s="341"/>
      <c r="Q81" s="340"/>
      <c r="R81" s="341"/>
      <c r="S81" s="341"/>
      <c r="T81" s="341"/>
      <c r="U81" s="340"/>
      <c r="V81" s="341"/>
      <c r="W81" s="341"/>
      <c r="X81" s="341"/>
      <c r="Y81" s="340"/>
      <c r="Z81" s="341"/>
      <c r="AA81" s="341"/>
      <c r="AB81" s="341"/>
      <c r="AC81" s="340"/>
      <c r="AD81" s="341"/>
      <c r="AE81" s="341"/>
      <c r="AF81" s="341"/>
      <c r="AG81" s="340"/>
      <c r="AH81" s="341"/>
      <c r="AI81" s="341"/>
      <c r="AJ81" s="341"/>
      <c r="AK81" s="340"/>
      <c r="AL81" s="341"/>
      <c r="AM81" s="341"/>
      <c r="AN81" s="341"/>
      <c r="AO81" s="342"/>
      <c r="AP81" s="342"/>
    </row>
    <row r="82" spans="1:42" s="71" customFormat="1" ht="12" outlineLevel="1">
      <c r="A82" s="82"/>
      <c r="B82" s="82"/>
      <c r="C82" s="82"/>
      <c r="D82" s="82"/>
      <c r="E82" s="1081"/>
      <c r="F82" s="1082"/>
      <c r="G82" s="338" t="s">
        <v>414</v>
      </c>
      <c r="H82" s="339"/>
      <c r="I82" s="340" t="s">
        <v>88</v>
      </c>
      <c r="J82" s="341">
        <f>+VLOOKUP($G82,Supermarket!$D$72:$K$95,8,FALSE)</f>
        <v>0</v>
      </c>
      <c r="K82" s="341"/>
      <c r="L82" s="341"/>
      <c r="M82" s="340" t="s">
        <v>88</v>
      </c>
      <c r="N82" s="341">
        <f>+VLOOKUP($G82,PharmacyL!$D$10:$K$194,8,FALSE)</f>
        <v>0</v>
      </c>
      <c r="O82" s="341"/>
      <c r="P82" s="341"/>
      <c r="Q82" s="340" t="s">
        <v>88</v>
      </c>
      <c r="R82" s="341">
        <f>+VLOOKUP($G82,PharmacyS!$D$10:$K$195,8,FALSE)</f>
        <v>0</v>
      </c>
      <c r="S82" s="341"/>
      <c r="T82" s="341"/>
      <c r="U82" s="340" t="s">
        <v>88</v>
      </c>
      <c r="V82" s="341">
        <f>+VLOOKUP($G82,HealthCare!$D$10:$K$195,8,FALSE)</f>
        <v>0</v>
      </c>
      <c r="W82" s="341"/>
      <c r="X82" s="341"/>
      <c r="Y82" s="340" t="s">
        <v>88</v>
      </c>
      <c r="Z82" s="341">
        <f>+VLOOKUP($G82,Restaurant!$D$10:$K$194,8,FALSE)</f>
        <v>0</v>
      </c>
      <c r="AA82" s="341"/>
      <c r="AB82" s="341"/>
      <c r="AC82" s="340" t="s">
        <v>88</v>
      </c>
      <c r="AD82" s="341">
        <f>+VLOOKUP($G82,GenRetL!$D$10:$K$194,8,FALSE)</f>
        <v>0</v>
      </c>
      <c r="AE82" s="341"/>
      <c r="AF82" s="341"/>
      <c r="AG82" s="340" t="s">
        <v>88</v>
      </c>
      <c r="AH82" s="341">
        <f>+VLOOKUP($G82,GenRetS!$D$10:$K$195,8,FALSE)</f>
        <v>0</v>
      </c>
      <c r="AI82" s="341"/>
      <c r="AJ82" s="341"/>
      <c r="AK82" s="340" t="s">
        <v>88</v>
      </c>
      <c r="AL82" s="341">
        <f>+VLOOKUP($G82,Laundr!$D$10:$K$195,8,FALSE)</f>
        <v>0</v>
      </c>
      <c r="AM82" s="341"/>
      <c r="AN82" s="341"/>
      <c r="AO82" s="342"/>
      <c r="AP82" s="342"/>
    </row>
    <row r="83" spans="1:42" s="71" customFormat="1" ht="12" outlineLevel="1">
      <c r="A83" s="82"/>
      <c r="B83" s="82"/>
      <c r="C83" s="82"/>
      <c r="D83" s="82"/>
      <c r="E83" s="1081"/>
      <c r="F83" s="1082"/>
      <c r="G83" s="338" t="s">
        <v>415</v>
      </c>
      <c r="H83" s="339"/>
      <c r="I83" s="340" t="s">
        <v>88</v>
      </c>
      <c r="J83" s="341"/>
      <c r="K83" s="341">
        <f>+VLOOKUP($G83,Supermarket!$D$72:$K$95,8,FALSE)</f>
        <v>0</v>
      </c>
      <c r="L83" s="341"/>
      <c r="M83" s="340" t="s">
        <v>88</v>
      </c>
      <c r="N83" s="341"/>
      <c r="O83" s="341">
        <f>+VLOOKUP($G83,PharmacyL!$D$10:$K$194,8,FALSE)</f>
        <v>0</v>
      </c>
      <c r="P83" s="341"/>
      <c r="Q83" s="340" t="s">
        <v>88</v>
      </c>
      <c r="R83" s="341"/>
      <c r="S83" s="341">
        <f>+VLOOKUP($G83,PharmacyS!$D$10:$K$195,8,FALSE)</f>
        <v>0</v>
      </c>
      <c r="T83" s="341"/>
      <c r="U83" s="340" t="s">
        <v>88</v>
      </c>
      <c r="V83" s="341"/>
      <c r="W83" s="341">
        <f>+VLOOKUP($G83,HealthCare!$D$10:$K$195,8,FALSE)</f>
        <v>0</v>
      </c>
      <c r="X83" s="341"/>
      <c r="Y83" s="340" t="s">
        <v>88</v>
      </c>
      <c r="Z83" s="341"/>
      <c r="AA83" s="341">
        <f>+VLOOKUP($G83,Restaurant!$D$10:$K$194,8,FALSE)</f>
        <v>0</v>
      </c>
      <c r="AB83" s="341"/>
      <c r="AC83" s="340" t="s">
        <v>88</v>
      </c>
      <c r="AD83" s="341"/>
      <c r="AE83" s="341">
        <f>+VLOOKUP($G83,GenRetL!$D$10:$K$194,8,FALSE)</f>
        <v>0</v>
      </c>
      <c r="AF83" s="341"/>
      <c r="AG83" s="340" t="s">
        <v>88</v>
      </c>
      <c r="AH83" s="341"/>
      <c r="AI83" s="341">
        <f>+VLOOKUP($G83,GenRetS!$D$10:$K$195,8,FALSE)</f>
        <v>0</v>
      </c>
      <c r="AJ83" s="341"/>
      <c r="AK83" s="340" t="s">
        <v>88</v>
      </c>
      <c r="AL83" s="341"/>
      <c r="AM83" s="341">
        <f>+VLOOKUP($G83,Laundr!$D$10:$K$195,8,FALSE)</f>
        <v>0</v>
      </c>
      <c r="AN83" s="341"/>
      <c r="AO83" s="342"/>
      <c r="AP83" s="342"/>
    </row>
    <row r="84" spans="1:42" s="71" customFormat="1" ht="24" outlineLevel="1">
      <c r="A84" s="82"/>
      <c r="B84" s="82"/>
      <c r="C84" s="82"/>
      <c r="D84" s="82"/>
      <c r="E84" s="1083"/>
      <c r="F84" s="1084"/>
      <c r="G84" s="338" t="s">
        <v>416</v>
      </c>
      <c r="H84" s="339"/>
      <c r="I84" s="340" t="s">
        <v>287</v>
      </c>
      <c r="J84" s="341"/>
      <c r="K84" s="341"/>
      <c r="L84" s="341" t="e">
        <f>+VLOOKUP($G84,Supermarket!$D$72:$K$95,8,FALSE)</f>
        <v>#N/A</v>
      </c>
      <c r="M84" s="340" t="s">
        <v>288</v>
      </c>
      <c r="N84" s="341"/>
      <c r="O84" s="341"/>
      <c r="P84" s="341">
        <f>+VLOOKUP($G84,PharmacyL!$D$10:$K$194,8,FALSE)</f>
        <v>90190</v>
      </c>
      <c r="Q84" s="340" t="s">
        <v>288</v>
      </c>
      <c r="R84" s="341"/>
      <c r="S84" s="341"/>
      <c r="T84" s="341">
        <f>+VLOOKUP($G84,PharmacyS!$D$10:$K$195,8,FALSE)</f>
        <v>46250</v>
      </c>
      <c r="U84" s="340" t="s">
        <v>289</v>
      </c>
      <c r="V84" s="341"/>
      <c r="W84" s="341"/>
      <c r="X84" s="341">
        <f>+VLOOKUP($G84,HealthCare!$D$10:$K$195,8,FALSE)</f>
        <v>27500</v>
      </c>
      <c r="Y84" s="340" t="s">
        <v>288</v>
      </c>
      <c r="Z84" s="341"/>
      <c r="AA84" s="341"/>
      <c r="AB84" s="341">
        <f>+VLOOKUP($G84,Restaurant!$D$10:$K$194,8,FALSE)</f>
        <v>35000</v>
      </c>
      <c r="AC84" s="340" t="s">
        <v>290</v>
      </c>
      <c r="AD84" s="341"/>
      <c r="AE84" s="341"/>
      <c r="AF84" s="341">
        <f>+VLOOKUP($G84,GenRetL!$D$10:$K$194,8,FALSE)</f>
        <v>27500</v>
      </c>
      <c r="AG84" s="340" t="s">
        <v>290</v>
      </c>
      <c r="AH84" s="341"/>
      <c r="AI84" s="341"/>
      <c r="AJ84" s="341">
        <f>+VLOOKUP($G84,GenRetS!$D$10:$K$195,8,FALSE)</f>
        <v>19000</v>
      </c>
      <c r="AK84" s="340" t="s">
        <v>290</v>
      </c>
      <c r="AL84" s="341"/>
      <c r="AM84" s="341"/>
      <c r="AN84" s="341">
        <f>+VLOOKUP($G84,Laundr!$D$10:$K$195,8,FALSE)</f>
        <v>19000</v>
      </c>
      <c r="AO84" s="342"/>
      <c r="AP84" s="342"/>
    </row>
    <row r="85" spans="1:42" s="71" customFormat="1" ht="12" outlineLevel="1">
      <c r="A85" s="82"/>
      <c r="B85" s="82"/>
      <c r="C85" s="82"/>
      <c r="D85" s="82"/>
      <c r="E85" s="1079" t="s">
        <v>8</v>
      </c>
      <c r="F85" s="1080"/>
      <c r="G85" s="1085" t="s">
        <v>25</v>
      </c>
      <c r="H85" s="1086"/>
      <c r="I85" s="340"/>
      <c r="J85" s="341"/>
      <c r="K85" s="341"/>
      <c r="L85" s="341"/>
      <c r="M85" s="340"/>
      <c r="N85" s="341"/>
      <c r="O85" s="341"/>
      <c r="P85" s="341"/>
      <c r="Q85" s="340"/>
      <c r="R85" s="341"/>
      <c r="S85" s="341"/>
      <c r="T85" s="341"/>
      <c r="U85" s="340"/>
      <c r="V85" s="341"/>
      <c r="W85" s="341"/>
      <c r="X85" s="341"/>
      <c r="Y85" s="340"/>
      <c r="Z85" s="341"/>
      <c r="AA85" s="341"/>
      <c r="AB85" s="341"/>
      <c r="AC85" s="340"/>
      <c r="AD85" s="341"/>
      <c r="AE85" s="341"/>
      <c r="AF85" s="341"/>
      <c r="AG85" s="340"/>
      <c r="AH85" s="341"/>
      <c r="AI85" s="341"/>
      <c r="AJ85" s="341"/>
      <c r="AK85" s="340"/>
      <c r="AL85" s="341"/>
      <c r="AM85" s="341"/>
      <c r="AN85" s="341"/>
      <c r="AO85" s="342"/>
      <c r="AP85" s="342"/>
    </row>
    <row r="86" spans="1:42" s="71" customFormat="1" ht="12" outlineLevel="1">
      <c r="A86" s="82"/>
      <c r="B86" s="82"/>
      <c r="C86" s="82"/>
      <c r="D86" s="82"/>
      <c r="E86" s="1081"/>
      <c r="F86" s="1082"/>
      <c r="G86" s="338" t="s">
        <v>417</v>
      </c>
      <c r="H86" s="339"/>
      <c r="I86" s="340" t="s">
        <v>88</v>
      </c>
      <c r="J86" s="341">
        <f>+VLOOKUP($G86,Supermarket!$D$72:$K$95,8,FALSE)</f>
        <v>0</v>
      </c>
      <c r="K86" s="341"/>
      <c r="L86" s="341"/>
      <c r="M86" s="340" t="s">
        <v>88</v>
      </c>
      <c r="N86" s="341">
        <f>+VLOOKUP($G86,PharmacyL!$D$10:$K$194,8,FALSE)</f>
        <v>0</v>
      </c>
      <c r="O86" s="341"/>
      <c r="P86" s="341"/>
      <c r="Q86" s="340" t="s">
        <v>88</v>
      </c>
      <c r="R86" s="341">
        <f>+VLOOKUP($G86,PharmacyS!$D$10:$K$195,8,FALSE)</f>
        <v>0</v>
      </c>
      <c r="S86" s="341"/>
      <c r="T86" s="341"/>
      <c r="U86" s="340" t="s">
        <v>88</v>
      </c>
      <c r="V86" s="341">
        <f>+VLOOKUP($G86,HealthCare!$D$10:$K$195,8,FALSE)</f>
        <v>0</v>
      </c>
      <c r="W86" s="341"/>
      <c r="X86" s="341"/>
      <c r="Y86" s="340" t="s">
        <v>88</v>
      </c>
      <c r="Z86" s="341">
        <f>+VLOOKUP($G86,Restaurant!$D$10:$K$194,8,FALSE)</f>
        <v>0</v>
      </c>
      <c r="AA86" s="341"/>
      <c r="AB86" s="341"/>
      <c r="AC86" s="340" t="s">
        <v>88</v>
      </c>
      <c r="AD86" s="341">
        <f>+VLOOKUP($G86,GenRetL!$D$10:$K$194,8,FALSE)</f>
        <v>0</v>
      </c>
      <c r="AE86" s="341"/>
      <c r="AF86" s="341"/>
      <c r="AG86" s="340" t="s">
        <v>88</v>
      </c>
      <c r="AH86" s="341">
        <f>+VLOOKUP($G86,GenRetS!$D$10:$K$195,8,FALSE)</f>
        <v>0</v>
      </c>
      <c r="AI86" s="341"/>
      <c r="AJ86" s="341"/>
      <c r="AK86" s="340" t="s">
        <v>88</v>
      </c>
      <c r="AL86" s="341">
        <f>+VLOOKUP($G86,Laundr!$D$10:$K$195,8,FALSE)</f>
        <v>0</v>
      </c>
      <c r="AM86" s="341"/>
      <c r="AN86" s="341"/>
      <c r="AO86" s="342"/>
      <c r="AP86" s="342"/>
    </row>
    <row r="87" spans="1:42" s="71" customFormat="1" ht="12" outlineLevel="1">
      <c r="A87" s="82"/>
      <c r="B87" s="82"/>
      <c r="C87" s="82"/>
      <c r="D87" s="82"/>
      <c r="E87" s="1081"/>
      <c r="F87" s="1082"/>
      <c r="G87" s="338" t="s">
        <v>418</v>
      </c>
      <c r="H87" s="339"/>
      <c r="I87" s="340" t="s">
        <v>88</v>
      </c>
      <c r="J87" s="341"/>
      <c r="K87" s="341">
        <f>+VLOOKUP($G87,Supermarket!$D$72:$K$95,8,FALSE)</f>
        <v>0</v>
      </c>
      <c r="L87" s="341"/>
      <c r="M87" s="340" t="s">
        <v>88</v>
      </c>
      <c r="N87" s="341"/>
      <c r="O87" s="341">
        <f>+VLOOKUP($G87,PharmacyL!$D$10:$K$194,8,FALSE)</f>
        <v>0</v>
      </c>
      <c r="P87" s="341"/>
      <c r="Q87" s="340" t="s">
        <v>88</v>
      </c>
      <c r="R87" s="341"/>
      <c r="S87" s="341">
        <f>+VLOOKUP($G87,PharmacyS!$D$10:$K$195,8,FALSE)</f>
        <v>0</v>
      </c>
      <c r="T87" s="341"/>
      <c r="U87" s="340" t="s">
        <v>88</v>
      </c>
      <c r="V87" s="341"/>
      <c r="W87" s="341">
        <f>+VLOOKUP($G87,HealthCare!$D$10:$K$195,8,FALSE)</f>
        <v>0</v>
      </c>
      <c r="X87" s="341"/>
      <c r="Y87" s="340" t="s">
        <v>88</v>
      </c>
      <c r="Z87" s="341"/>
      <c r="AA87" s="341">
        <f>+VLOOKUP($G87,Restaurant!$D$10:$K$194,8,FALSE)</f>
        <v>0</v>
      </c>
      <c r="AB87" s="341"/>
      <c r="AC87" s="340" t="s">
        <v>88</v>
      </c>
      <c r="AD87" s="341"/>
      <c r="AE87" s="341">
        <f>+VLOOKUP($G87,GenRetL!$D$10:$K$194,8,FALSE)</f>
        <v>0</v>
      </c>
      <c r="AF87" s="341"/>
      <c r="AG87" s="340" t="s">
        <v>88</v>
      </c>
      <c r="AH87" s="341"/>
      <c r="AI87" s="341">
        <f>+VLOOKUP($G87,GenRetS!$D$10:$K$195,8,FALSE)</f>
        <v>0</v>
      </c>
      <c r="AJ87" s="341"/>
      <c r="AK87" s="340" t="s">
        <v>88</v>
      </c>
      <c r="AL87" s="341"/>
      <c r="AM87" s="341">
        <f>+VLOOKUP($G87,Laundr!$D$10:$K$195,8,FALSE)</f>
        <v>0</v>
      </c>
      <c r="AN87" s="341"/>
      <c r="AO87" s="342"/>
      <c r="AP87" s="342"/>
    </row>
    <row r="88" spans="1:42" s="71" customFormat="1" ht="24" outlineLevel="1">
      <c r="A88" s="82"/>
      <c r="B88" s="82"/>
      <c r="C88" s="82"/>
      <c r="D88" s="82"/>
      <c r="E88" s="1083"/>
      <c r="F88" s="1084"/>
      <c r="G88" s="338" t="s">
        <v>419</v>
      </c>
      <c r="H88" s="339"/>
      <c r="I88" s="340" t="s">
        <v>287</v>
      </c>
      <c r="J88" s="341"/>
      <c r="K88" s="341"/>
      <c r="L88" s="341" t="e">
        <f>+VLOOKUP($G88,Supermarket!$D$72:$K$95,8,FALSE)</f>
        <v>#N/A</v>
      </c>
      <c r="M88" s="340" t="s">
        <v>288</v>
      </c>
      <c r="N88" s="341"/>
      <c r="O88" s="341"/>
      <c r="P88" s="341">
        <f>+VLOOKUP($G88,PharmacyL!$D$10:$K$194,8,FALSE)</f>
        <v>90190</v>
      </c>
      <c r="Q88" s="340" t="s">
        <v>288</v>
      </c>
      <c r="R88" s="341"/>
      <c r="S88" s="341"/>
      <c r="T88" s="341">
        <f>+VLOOKUP($G88,PharmacyS!$D$10:$K$195,8,FALSE)</f>
        <v>46250</v>
      </c>
      <c r="U88" s="340" t="s">
        <v>289</v>
      </c>
      <c r="V88" s="341"/>
      <c r="W88" s="341"/>
      <c r="X88" s="341">
        <f>+VLOOKUP($G88,HealthCare!$D$10:$K$195,8,FALSE)</f>
        <v>27500</v>
      </c>
      <c r="Y88" s="340" t="s">
        <v>288</v>
      </c>
      <c r="Z88" s="341"/>
      <c r="AA88" s="341"/>
      <c r="AB88" s="341">
        <f>+VLOOKUP($G88,Restaurant!$D$10:$K$194,8,FALSE)</f>
        <v>35000</v>
      </c>
      <c r="AC88" s="340" t="s">
        <v>290</v>
      </c>
      <c r="AD88" s="341"/>
      <c r="AE88" s="341"/>
      <c r="AF88" s="341">
        <f>+VLOOKUP($G88,GenRetL!$D$10:$K$194,8,FALSE)</f>
        <v>27500</v>
      </c>
      <c r="AG88" s="340" t="s">
        <v>290</v>
      </c>
      <c r="AH88" s="341"/>
      <c r="AI88" s="341"/>
      <c r="AJ88" s="341">
        <f>+VLOOKUP($G88,GenRetS!$D$10:$K$195,8,FALSE)</f>
        <v>19000</v>
      </c>
      <c r="AK88" s="340" t="s">
        <v>290</v>
      </c>
      <c r="AL88" s="341"/>
      <c r="AM88" s="341"/>
      <c r="AN88" s="341">
        <f>+VLOOKUP($G88,Laundr!$D$10:$K$195,8,FALSE)</f>
        <v>19000</v>
      </c>
      <c r="AO88" s="342"/>
      <c r="AP88" s="342"/>
    </row>
    <row r="89" spans="1:42" s="85" customFormat="1" ht="12">
      <c r="A89" s="84"/>
      <c r="B89" s="84"/>
      <c r="C89" s="84"/>
      <c r="D89" s="84"/>
      <c r="E89" s="334">
        <v>1.8</v>
      </c>
      <c r="F89" s="1108" t="s">
        <v>22</v>
      </c>
      <c r="G89" s="1109"/>
      <c r="H89" s="1110"/>
      <c r="I89" s="340"/>
      <c r="J89" s="341"/>
      <c r="K89" s="341"/>
      <c r="L89" s="341"/>
      <c r="M89" s="340"/>
      <c r="N89" s="341"/>
      <c r="O89" s="341"/>
      <c r="P89" s="341"/>
      <c r="Q89" s="340"/>
      <c r="R89" s="341"/>
      <c r="S89" s="341"/>
      <c r="T89" s="341"/>
      <c r="U89" s="340"/>
      <c r="V89" s="341"/>
      <c r="W89" s="341"/>
      <c r="X89" s="341"/>
      <c r="Y89" s="340"/>
      <c r="Z89" s="341"/>
      <c r="AA89" s="341"/>
      <c r="AB89" s="341"/>
      <c r="AC89" s="340"/>
      <c r="AD89" s="341"/>
      <c r="AE89" s="341"/>
      <c r="AF89" s="341"/>
      <c r="AG89" s="340"/>
      <c r="AH89" s="341"/>
      <c r="AI89" s="341"/>
      <c r="AJ89" s="341"/>
      <c r="AK89" s="340"/>
      <c r="AL89" s="341"/>
      <c r="AM89" s="341"/>
      <c r="AN89" s="341"/>
      <c r="AO89" s="342"/>
      <c r="AP89" s="342"/>
    </row>
    <row r="90" spans="1:42" s="71" customFormat="1" ht="12" outlineLevel="1">
      <c r="A90" s="82"/>
      <c r="B90" s="82"/>
      <c r="C90" s="82"/>
      <c r="D90" s="82"/>
      <c r="E90" s="1111" t="s">
        <v>5</v>
      </c>
      <c r="F90" s="1112"/>
      <c r="G90" s="1117" t="s">
        <v>26</v>
      </c>
      <c r="H90" s="1118"/>
      <c r="I90" s="68"/>
      <c r="J90" s="83"/>
      <c r="K90" s="83"/>
      <c r="L90" s="83"/>
      <c r="M90" s="68"/>
      <c r="N90" s="83"/>
      <c r="O90" s="83"/>
      <c r="P90" s="83"/>
      <c r="Q90" s="68"/>
      <c r="R90" s="83"/>
      <c r="S90" s="83"/>
      <c r="T90" s="83"/>
      <c r="U90" s="68"/>
      <c r="V90" s="83"/>
      <c r="W90" s="83"/>
      <c r="X90" s="83"/>
      <c r="Y90" s="68"/>
      <c r="Z90" s="83"/>
      <c r="AA90" s="83"/>
      <c r="AB90" s="83"/>
      <c r="AC90" s="68"/>
      <c r="AD90" s="83"/>
      <c r="AE90" s="83"/>
      <c r="AF90" s="83"/>
      <c r="AG90" s="68"/>
      <c r="AH90" s="83"/>
      <c r="AI90" s="83"/>
      <c r="AJ90" s="83"/>
      <c r="AK90" s="68"/>
      <c r="AL90" s="83"/>
      <c r="AM90" s="83"/>
      <c r="AN90" s="83"/>
      <c r="AO90" s="73"/>
      <c r="AP90" s="73"/>
    </row>
    <row r="91" spans="1:42" s="71" customFormat="1" ht="12" outlineLevel="1">
      <c r="A91" s="82"/>
      <c r="B91" s="82"/>
      <c r="C91" s="82"/>
      <c r="D91" s="82"/>
      <c r="E91" s="1113"/>
      <c r="F91" s="1114"/>
      <c r="G91" s="78" t="s">
        <v>420</v>
      </c>
      <c r="H91" s="72"/>
      <c r="I91" s="68" t="s">
        <v>291</v>
      </c>
      <c r="J91" s="83">
        <f>+VLOOKUP($G91,Supermarket!$D$97:$K$103,8,FALSE)</f>
        <v>6000</v>
      </c>
      <c r="K91" s="83"/>
      <c r="L91" s="83"/>
      <c r="M91" s="68" t="s">
        <v>292</v>
      </c>
      <c r="N91" s="83"/>
      <c r="O91" s="83"/>
      <c r="P91" s="83"/>
      <c r="Q91" s="68" t="s">
        <v>293</v>
      </c>
      <c r="R91" s="83">
        <f>+VLOOKUP($G91,PharmacyS!$D$10:$K$195,8,FALSE)</f>
        <v>4000</v>
      </c>
      <c r="S91" s="83"/>
      <c r="T91" s="83"/>
      <c r="U91" s="68" t="s">
        <v>294</v>
      </c>
      <c r="V91" s="83">
        <f>+VLOOKUP($G91,HealthCare!$D$10:$K$195,8,FALSE)</f>
        <v>1500</v>
      </c>
      <c r="W91" s="83"/>
      <c r="X91" s="83"/>
      <c r="Y91" s="68" t="s">
        <v>295</v>
      </c>
      <c r="Z91" s="83">
        <f>+VLOOKUP($G91,Restaurant!$D$10:$K$194,8,FALSE)</f>
        <v>3000</v>
      </c>
      <c r="AA91" s="83"/>
      <c r="AB91" s="83"/>
      <c r="AC91" s="68" t="s">
        <v>296</v>
      </c>
      <c r="AD91" s="83"/>
      <c r="AE91" s="83">
        <f>+VLOOKUP($G91,GenRetL!$D$10:$K$194,8,FALSE)</f>
        <v>2000</v>
      </c>
      <c r="AF91" s="83"/>
      <c r="AG91" s="68" t="s">
        <v>297</v>
      </c>
      <c r="AH91" s="83">
        <f>+VLOOKUP($G91,GenRetS!$D$10:$K$195,8,FALSE)</f>
        <v>1000</v>
      </c>
      <c r="AI91" s="83"/>
      <c r="AJ91" s="83"/>
      <c r="AK91" s="68" t="s">
        <v>298</v>
      </c>
      <c r="AL91" s="83">
        <f>+VLOOKUP($G91,Laundr!$D$10:$K$195,8,FALSE)</f>
        <v>2000</v>
      </c>
      <c r="AM91" s="83"/>
      <c r="AN91" s="83"/>
      <c r="AO91" s="73"/>
      <c r="AP91" s="73"/>
    </row>
    <row r="92" spans="1:42" s="71" customFormat="1" ht="12" outlineLevel="1">
      <c r="A92" s="82"/>
      <c r="B92" s="82"/>
      <c r="C92" s="82"/>
      <c r="D92" s="82"/>
      <c r="E92" s="1113"/>
      <c r="F92" s="1114"/>
      <c r="G92" s="78" t="s">
        <v>421</v>
      </c>
      <c r="H92" s="72"/>
      <c r="I92" s="68" t="s">
        <v>88</v>
      </c>
      <c r="J92" s="83"/>
      <c r="K92" s="83">
        <f>+VLOOKUP($G92,Supermarket!$D$97:$K$103,8,FALSE)</f>
        <v>0</v>
      </c>
      <c r="L92" s="83"/>
      <c r="M92" s="68" t="s">
        <v>88</v>
      </c>
      <c r="N92" s="83"/>
      <c r="O92" s="83"/>
      <c r="P92" s="83"/>
      <c r="Q92" s="68" t="s">
        <v>88</v>
      </c>
      <c r="R92" s="83"/>
      <c r="S92" s="83">
        <f>+VLOOKUP($G92,PharmacyS!$D$10:$K$195,8,FALSE)</f>
        <v>0</v>
      </c>
      <c r="T92" s="83"/>
      <c r="U92" s="68" t="s">
        <v>88</v>
      </c>
      <c r="V92" s="83"/>
      <c r="W92" s="83">
        <f>+VLOOKUP($G92,HealthCare!$D$10:$K$195,8,FALSE)</f>
        <v>0</v>
      </c>
      <c r="X92" s="83"/>
      <c r="Y92" s="68" t="s">
        <v>88</v>
      </c>
      <c r="Z92" s="83"/>
      <c r="AA92" s="83">
        <f>+VLOOKUP($G92,Restaurant!$D$10:$K$194,8,FALSE)</f>
        <v>0</v>
      </c>
      <c r="AB92" s="83"/>
      <c r="AC92" s="68" t="s">
        <v>88</v>
      </c>
      <c r="AD92" s="83"/>
      <c r="AE92" s="83"/>
      <c r="AF92" s="83">
        <f>+VLOOKUP($G92,GenRetL!$D$10:$K$194,8,FALSE)</f>
        <v>0</v>
      </c>
      <c r="AG92" s="68" t="s">
        <v>88</v>
      </c>
      <c r="AH92" s="83"/>
      <c r="AI92" s="83">
        <f>+VLOOKUP($G92,GenRetS!$D$10:$K$195,8,FALSE)</f>
        <v>0</v>
      </c>
      <c r="AJ92" s="83"/>
      <c r="AK92" s="68" t="s">
        <v>88</v>
      </c>
      <c r="AL92" s="83"/>
      <c r="AM92" s="83">
        <f>+VLOOKUP($G92,Laundr!$D$10:$K$195,8,FALSE)</f>
        <v>0</v>
      </c>
      <c r="AN92" s="83"/>
      <c r="AO92" s="73"/>
      <c r="AP92" s="73"/>
    </row>
    <row r="93" spans="1:42" s="71" customFormat="1" ht="12" outlineLevel="1">
      <c r="A93" s="82"/>
      <c r="B93" s="82"/>
      <c r="C93" s="82"/>
      <c r="D93" s="82"/>
      <c r="E93" s="1115"/>
      <c r="F93" s="1116"/>
      <c r="G93" s="78" t="s">
        <v>422</v>
      </c>
      <c r="H93" s="72"/>
      <c r="I93" s="68" t="s">
        <v>88</v>
      </c>
      <c r="J93" s="83"/>
      <c r="K93" s="83"/>
      <c r="L93" s="83">
        <f>+VLOOKUP($G93,Supermarket!$D$97:$K$103,8,FALSE)</f>
        <v>0</v>
      </c>
      <c r="M93" s="68" t="s">
        <v>88</v>
      </c>
      <c r="N93" s="83"/>
      <c r="O93" s="83"/>
      <c r="P93" s="83"/>
      <c r="Q93" s="68" t="s">
        <v>88</v>
      </c>
      <c r="R93" s="83"/>
      <c r="S93" s="83"/>
      <c r="T93" s="83">
        <f>+VLOOKUP($G93,PharmacyS!$D$10:$K$195,8,FALSE)</f>
        <v>0</v>
      </c>
      <c r="U93" s="68" t="s">
        <v>88</v>
      </c>
      <c r="V93" s="83"/>
      <c r="W93" s="83"/>
      <c r="X93" s="83">
        <f>+VLOOKUP($G93,HealthCare!$D$10:$K$195,8,FALSE)</f>
        <v>0</v>
      </c>
      <c r="Y93" s="68" t="s">
        <v>88</v>
      </c>
      <c r="Z93" s="83"/>
      <c r="AA93" s="83"/>
      <c r="AB93" s="83">
        <f>+VLOOKUP($G93,Restaurant!$D$10:$K$194,8,FALSE)</f>
        <v>0</v>
      </c>
      <c r="AC93" s="68" t="s">
        <v>88</v>
      </c>
      <c r="AD93" s="83"/>
      <c r="AE93" s="83"/>
      <c r="AF93" s="83"/>
      <c r="AG93" s="68" t="s">
        <v>88</v>
      </c>
      <c r="AH93" s="83"/>
      <c r="AI93" s="83"/>
      <c r="AJ93" s="83">
        <f>+VLOOKUP($G93,GenRetS!$D$10:$K$195,8,FALSE)</f>
        <v>0</v>
      </c>
      <c r="AK93" s="68" t="s">
        <v>88</v>
      </c>
      <c r="AL93" s="83"/>
      <c r="AM93" s="83"/>
      <c r="AN93" s="83">
        <f>+VLOOKUP($G93,Laundr!$D$10:$K$195,8,FALSE)</f>
        <v>0</v>
      </c>
      <c r="AO93" s="73"/>
      <c r="AP93" s="73"/>
    </row>
    <row r="94" spans="1:42" s="71" customFormat="1" ht="12" outlineLevel="1">
      <c r="A94" s="82"/>
      <c r="B94" s="82"/>
      <c r="C94" s="82"/>
      <c r="D94" s="82"/>
      <c r="E94" s="1111" t="s">
        <v>6</v>
      </c>
      <c r="F94" s="1112"/>
      <c r="G94" s="1117" t="s">
        <v>27</v>
      </c>
      <c r="H94" s="1118"/>
      <c r="I94" s="68"/>
      <c r="J94" s="83"/>
      <c r="K94" s="83"/>
      <c r="L94" s="83"/>
      <c r="M94" s="68"/>
      <c r="N94" s="83"/>
      <c r="O94" s="83"/>
      <c r="P94" s="83"/>
      <c r="Q94" s="68"/>
      <c r="R94" s="83"/>
      <c r="S94" s="83"/>
      <c r="T94" s="83"/>
      <c r="U94" s="68"/>
      <c r="V94" s="83"/>
      <c r="W94" s="83"/>
      <c r="X94" s="83"/>
      <c r="Y94" s="68"/>
      <c r="Z94" s="83"/>
      <c r="AA94" s="83"/>
      <c r="AB94" s="83"/>
      <c r="AC94" s="68"/>
      <c r="AD94" s="83"/>
      <c r="AE94" s="83"/>
      <c r="AF94" s="83"/>
      <c r="AG94" s="68"/>
      <c r="AH94" s="83"/>
      <c r="AI94" s="83"/>
      <c r="AJ94" s="83"/>
      <c r="AK94" s="68"/>
      <c r="AL94" s="83"/>
      <c r="AM94" s="83"/>
      <c r="AN94" s="83"/>
      <c r="AO94" s="73"/>
      <c r="AP94" s="73"/>
    </row>
    <row r="95" spans="1:42" s="71" customFormat="1" ht="24" outlineLevel="1">
      <c r="A95" s="82"/>
      <c r="B95" s="82"/>
      <c r="C95" s="82"/>
      <c r="D95" s="82"/>
      <c r="E95" s="1113"/>
      <c r="F95" s="1114"/>
      <c r="G95" s="78" t="s">
        <v>423</v>
      </c>
      <c r="H95" s="72"/>
      <c r="I95" s="69" t="s">
        <v>211</v>
      </c>
      <c r="J95" s="83">
        <f>+VLOOKUP($G95,Supermarket!$D$97:$K$103,8,FALSE)</f>
        <v>65000</v>
      </c>
      <c r="K95" s="83"/>
      <c r="L95" s="83"/>
      <c r="M95" s="69" t="s">
        <v>211</v>
      </c>
      <c r="N95" s="83"/>
      <c r="O95" s="83"/>
      <c r="P95" s="83"/>
      <c r="Q95" s="69" t="s">
        <v>211</v>
      </c>
      <c r="R95" s="83">
        <f>+VLOOKUP($G95,PharmacyS!$D$10:$K$195,8,FALSE)</f>
        <v>65000</v>
      </c>
      <c r="S95" s="83"/>
      <c r="T95" s="83"/>
      <c r="U95" s="69" t="s">
        <v>211</v>
      </c>
      <c r="V95" s="83">
        <f>+VLOOKUP($G95,HealthCare!$D$10:$K$195,8,FALSE)</f>
        <v>65000</v>
      </c>
      <c r="W95" s="83"/>
      <c r="X95" s="83"/>
      <c r="Y95" s="69" t="s">
        <v>211</v>
      </c>
      <c r="Z95" s="83">
        <f>+VLOOKUP($G95,Restaurant!$D$10:$K$194,8,FALSE)</f>
        <v>65000</v>
      </c>
      <c r="AA95" s="83"/>
      <c r="AB95" s="83"/>
      <c r="AC95" s="69" t="s">
        <v>211</v>
      </c>
      <c r="AD95" s="83">
        <f>+VLOOKUP($G95,GenRetL!$D$10:$K$194,8,FALSE)</f>
        <v>65000</v>
      </c>
      <c r="AE95" s="83"/>
      <c r="AF95" s="83"/>
      <c r="AG95" s="69" t="s">
        <v>211</v>
      </c>
      <c r="AH95" s="83">
        <f>+VLOOKUP($G95,GenRetS!$D$10:$K$195,8,FALSE)</f>
        <v>65000</v>
      </c>
      <c r="AI95" s="83"/>
      <c r="AJ95" s="83"/>
      <c r="AK95" s="69" t="s">
        <v>299</v>
      </c>
      <c r="AL95" s="83">
        <f>+VLOOKUP($G95,Laundr!$D$10:$K$195,8,FALSE)</f>
        <v>0</v>
      </c>
      <c r="AM95" s="83"/>
      <c r="AN95" s="83"/>
      <c r="AO95" s="73"/>
      <c r="AP95" s="73"/>
    </row>
    <row r="96" spans="1:42" s="71" customFormat="1" ht="12" outlineLevel="1">
      <c r="A96" s="82"/>
      <c r="B96" s="82"/>
      <c r="C96" s="82"/>
      <c r="D96" s="82"/>
      <c r="E96" s="1113"/>
      <c r="F96" s="1114"/>
      <c r="G96" s="78" t="s">
        <v>424</v>
      </c>
      <c r="H96" s="72"/>
      <c r="I96" s="68" t="s">
        <v>88</v>
      </c>
      <c r="J96" s="83"/>
      <c r="K96" s="83">
        <f>+VLOOKUP($G96,Supermarket!$D$97:$K$103,8,FALSE)</f>
        <v>0</v>
      </c>
      <c r="L96" s="83"/>
      <c r="M96" s="68" t="s">
        <v>88</v>
      </c>
      <c r="N96" s="83"/>
      <c r="O96" s="83"/>
      <c r="P96" s="83"/>
      <c r="Q96" s="68" t="s">
        <v>88</v>
      </c>
      <c r="R96" s="83"/>
      <c r="S96" s="83">
        <f>+VLOOKUP($G96,PharmacyS!$D$10:$K$195,8,FALSE)</f>
        <v>0</v>
      </c>
      <c r="T96" s="83"/>
      <c r="U96" s="68" t="s">
        <v>88</v>
      </c>
      <c r="V96" s="83"/>
      <c r="W96" s="83">
        <f>+VLOOKUP($G96,HealthCare!$D$10:$K$195,8,FALSE)</f>
        <v>0</v>
      </c>
      <c r="X96" s="83"/>
      <c r="Y96" s="68" t="s">
        <v>88</v>
      </c>
      <c r="Z96" s="83"/>
      <c r="AA96" s="83">
        <f>+VLOOKUP($G96,Restaurant!$D$10:$K$194,8,FALSE)</f>
        <v>0</v>
      </c>
      <c r="AB96" s="83"/>
      <c r="AC96" s="68" t="s">
        <v>88</v>
      </c>
      <c r="AD96" s="83"/>
      <c r="AE96" s="83">
        <f>+VLOOKUP($G96,GenRetL!$D$10:$K$194,8,FALSE)</f>
        <v>0</v>
      </c>
      <c r="AF96" s="83"/>
      <c r="AG96" s="68" t="s">
        <v>88</v>
      </c>
      <c r="AH96" s="83"/>
      <c r="AI96" s="83">
        <f>+VLOOKUP($G96,GenRetS!$D$10:$K$195,8,FALSE)</f>
        <v>0</v>
      </c>
      <c r="AJ96" s="83"/>
      <c r="AK96" s="68" t="s">
        <v>88</v>
      </c>
      <c r="AL96" s="83"/>
      <c r="AM96" s="83">
        <f>+VLOOKUP($G96,Laundr!$D$10:$K$195,8,FALSE)</f>
        <v>0</v>
      </c>
      <c r="AN96" s="83"/>
      <c r="AO96" s="73"/>
      <c r="AP96" s="73"/>
    </row>
    <row r="97" spans="1:42" s="71" customFormat="1" ht="12" outlineLevel="1">
      <c r="A97" s="82"/>
      <c r="B97" s="82"/>
      <c r="C97" s="82"/>
      <c r="D97" s="82"/>
      <c r="E97" s="1115"/>
      <c r="F97" s="1116"/>
      <c r="G97" s="78" t="s">
        <v>425</v>
      </c>
      <c r="H97" s="72"/>
      <c r="I97" s="68" t="s">
        <v>88</v>
      </c>
      <c r="J97" s="83"/>
      <c r="K97" s="83"/>
      <c r="L97" s="83">
        <f>+VLOOKUP($G97,Supermarket!$D$97:$K$103,8,FALSE)</f>
        <v>0</v>
      </c>
      <c r="M97" s="68" t="s">
        <v>88</v>
      </c>
      <c r="N97" s="83"/>
      <c r="O97" s="83"/>
      <c r="P97" s="83"/>
      <c r="Q97" s="68" t="s">
        <v>88</v>
      </c>
      <c r="R97" s="83"/>
      <c r="S97" s="83"/>
      <c r="T97" s="83">
        <f>+VLOOKUP($G97,PharmacyS!$D$10:$K$195,8,FALSE)</f>
        <v>0</v>
      </c>
      <c r="U97" s="68" t="s">
        <v>88</v>
      </c>
      <c r="V97" s="83"/>
      <c r="W97" s="83"/>
      <c r="X97" s="83">
        <f>+VLOOKUP($G97,HealthCare!$D$10:$K$195,8,FALSE)</f>
        <v>0</v>
      </c>
      <c r="Y97" s="68" t="s">
        <v>88</v>
      </c>
      <c r="Z97" s="83"/>
      <c r="AA97" s="83"/>
      <c r="AB97" s="83">
        <f>+VLOOKUP($G97,Restaurant!$D$10:$K$194,8,FALSE)</f>
        <v>0</v>
      </c>
      <c r="AC97" s="68" t="s">
        <v>88</v>
      </c>
      <c r="AD97" s="83"/>
      <c r="AE97" s="83"/>
      <c r="AF97" s="83">
        <f>+VLOOKUP($G97,GenRetL!$D$10:$K$194,8,FALSE)</f>
        <v>0</v>
      </c>
      <c r="AG97" s="68" t="s">
        <v>88</v>
      </c>
      <c r="AH97" s="83"/>
      <c r="AI97" s="83"/>
      <c r="AJ97" s="83">
        <f>+VLOOKUP($G97,GenRetS!$D$10:$K$195,8,FALSE)</f>
        <v>0</v>
      </c>
      <c r="AK97" s="68" t="s">
        <v>88</v>
      </c>
      <c r="AL97" s="83"/>
      <c r="AM97" s="83"/>
      <c r="AN97" s="83">
        <f>+VLOOKUP($G97,Laundr!$D$10:$K$195,8,FALSE)</f>
        <v>0</v>
      </c>
      <c r="AO97" s="73"/>
      <c r="AP97" s="73"/>
    </row>
    <row r="98" spans="1:42" s="85" customFormat="1">
      <c r="A98" s="84"/>
      <c r="B98" s="84"/>
      <c r="C98" s="84"/>
      <c r="D98" s="84"/>
      <c r="E98" s="244">
        <v>2</v>
      </c>
      <c r="F98" s="344" t="s">
        <v>190</v>
      </c>
      <c r="G98" s="345"/>
      <c r="H98" s="346"/>
      <c r="I98" s="70"/>
      <c r="J98" s="86"/>
      <c r="K98" s="86"/>
      <c r="L98" s="86"/>
      <c r="M98" s="70"/>
      <c r="N98" s="86"/>
      <c r="O98" s="86"/>
      <c r="P98" s="86"/>
      <c r="Q98" s="70"/>
      <c r="R98" s="86"/>
      <c r="S98" s="86"/>
      <c r="T98" s="86"/>
      <c r="U98" s="70"/>
      <c r="V98" s="86"/>
      <c r="W98" s="86"/>
      <c r="X98" s="86"/>
      <c r="Y98" s="70"/>
      <c r="Z98" s="86"/>
      <c r="AA98" s="86"/>
      <c r="AB98" s="86"/>
      <c r="AC98" s="70"/>
      <c r="AD98" s="86"/>
      <c r="AE98" s="86"/>
      <c r="AF98" s="86"/>
      <c r="AG98" s="70"/>
      <c r="AH98" s="86"/>
      <c r="AI98" s="86"/>
      <c r="AJ98" s="86"/>
      <c r="AK98" s="70"/>
      <c r="AL98" s="86"/>
      <c r="AM98" s="86"/>
      <c r="AN98" s="86"/>
      <c r="AO98" s="87"/>
      <c r="AP98" s="87"/>
    </row>
    <row r="99" spans="1:42" s="85" customFormat="1" ht="12">
      <c r="A99" s="84"/>
      <c r="B99" s="84"/>
      <c r="C99" s="84"/>
      <c r="D99" s="84"/>
      <c r="E99" s="79">
        <v>2.1</v>
      </c>
      <c r="F99" s="1140" t="s">
        <v>34</v>
      </c>
      <c r="G99" s="1141"/>
      <c r="H99" s="1142"/>
      <c r="I99" s="70"/>
      <c r="J99" s="86"/>
      <c r="K99" s="86"/>
      <c r="L99" s="86"/>
      <c r="M99" s="70"/>
      <c r="N99" s="86"/>
      <c r="O99" s="86"/>
      <c r="P99" s="86"/>
      <c r="Q99" s="70"/>
      <c r="R99" s="86"/>
      <c r="S99" s="86"/>
      <c r="T99" s="86"/>
      <c r="U99" s="70"/>
      <c r="V99" s="86"/>
      <c r="W99" s="86"/>
      <c r="X99" s="86"/>
      <c r="Y99" s="70"/>
      <c r="Z99" s="86"/>
      <c r="AA99" s="86"/>
      <c r="AB99" s="86"/>
      <c r="AC99" s="70"/>
      <c r="AD99" s="86"/>
      <c r="AE99" s="86"/>
      <c r="AF99" s="86"/>
      <c r="AG99" s="70"/>
      <c r="AH99" s="86"/>
      <c r="AI99" s="86"/>
      <c r="AJ99" s="86"/>
      <c r="AK99" s="70"/>
      <c r="AL99" s="86"/>
      <c r="AM99" s="86"/>
      <c r="AN99" s="86"/>
      <c r="AO99" s="87"/>
      <c r="AP99" s="87"/>
    </row>
    <row r="100" spans="1:42" s="71" customFormat="1" ht="12" outlineLevel="1">
      <c r="A100" s="82"/>
      <c r="B100" s="82"/>
      <c r="C100" s="82"/>
      <c r="D100" s="82"/>
      <c r="E100" s="1132" t="s">
        <v>5</v>
      </c>
      <c r="F100" s="1133"/>
      <c r="G100" s="1138" t="s">
        <v>35</v>
      </c>
      <c r="H100" s="1139"/>
      <c r="I100" s="70"/>
      <c r="J100" s="86"/>
      <c r="K100" s="86"/>
      <c r="L100" s="86"/>
      <c r="M100" s="70"/>
      <c r="N100" s="86"/>
      <c r="O100" s="86"/>
      <c r="P100" s="86"/>
      <c r="Q100" s="70"/>
      <c r="R100" s="86"/>
      <c r="S100" s="86"/>
      <c r="T100" s="86"/>
      <c r="U100" s="70"/>
      <c r="V100" s="86"/>
      <c r="W100" s="86"/>
      <c r="X100" s="86"/>
      <c r="Y100" s="70"/>
      <c r="Z100" s="86"/>
      <c r="AA100" s="86"/>
      <c r="AB100" s="86"/>
      <c r="AC100" s="70"/>
      <c r="AD100" s="86"/>
      <c r="AE100" s="86"/>
      <c r="AF100" s="86"/>
      <c r="AG100" s="70"/>
      <c r="AH100" s="86"/>
      <c r="AI100" s="86"/>
      <c r="AJ100" s="86"/>
      <c r="AK100" s="70"/>
      <c r="AL100" s="86"/>
      <c r="AM100" s="86"/>
      <c r="AN100" s="86"/>
      <c r="AO100" s="87"/>
      <c r="AP100" s="87"/>
    </row>
    <row r="101" spans="1:42" s="71" customFormat="1" ht="36" outlineLevel="1">
      <c r="A101" s="82"/>
      <c r="B101" s="82"/>
      <c r="C101" s="82"/>
      <c r="D101" s="82"/>
      <c r="E101" s="1134"/>
      <c r="F101" s="1135"/>
      <c r="G101" s="347" t="s">
        <v>427</v>
      </c>
      <c r="H101" s="348"/>
      <c r="I101" s="70" t="s">
        <v>224</v>
      </c>
      <c r="J101" s="86" t="s">
        <v>216</v>
      </c>
      <c r="K101" s="86" t="s">
        <v>88</v>
      </c>
      <c r="L101" s="86" t="s">
        <v>88</v>
      </c>
      <c r="M101" s="70" t="s">
        <v>227</v>
      </c>
      <c r="N101" s="86">
        <f>+VLOOKUP($G101,PharmacyL!$D$10:$K$194,8,FALSE)</f>
        <v>6850</v>
      </c>
      <c r="O101" s="86"/>
      <c r="P101" s="86"/>
      <c r="Q101" s="70" t="s">
        <v>231</v>
      </c>
      <c r="R101" s="86">
        <f>+VLOOKUP($G101,PharmacyS!$D$10:$K$195,8,FALSE)</f>
        <v>3300</v>
      </c>
      <c r="S101" s="86"/>
      <c r="T101" s="86"/>
      <c r="U101" s="70" t="s">
        <v>239</v>
      </c>
      <c r="V101" s="86">
        <f>+VLOOKUP($G101,HealthCare!$D$10:$K$195,8,FALSE)</f>
        <v>3300</v>
      </c>
      <c r="W101" s="86"/>
      <c r="X101" s="86"/>
      <c r="Y101" s="70" t="s">
        <v>243</v>
      </c>
      <c r="Z101" s="86">
        <f>+VLOOKUP($G101,Restaurant!$D$10:$K$194,8,FALSE)</f>
        <v>6850</v>
      </c>
      <c r="AA101" s="86"/>
      <c r="AB101" s="86"/>
      <c r="AC101" s="70" t="s">
        <v>246</v>
      </c>
      <c r="AD101" s="86">
        <f>+VLOOKUP($G101,GenRetL!$D$10:$K$194,8,FALSE)</f>
        <v>3300</v>
      </c>
      <c r="AE101" s="86"/>
      <c r="AF101" s="86"/>
      <c r="AG101" s="70" t="s">
        <v>250</v>
      </c>
      <c r="AH101" s="86">
        <f>+VLOOKUP($G101,GenRetS!$D$10:$K$195,8,FALSE)</f>
        <v>2750</v>
      </c>
      <c r="AI101" s="86"/>
      <c r="AJ101" s="86"/>
      <c r="AK101" s="70" t="s">
        <v>246</v>
      </c>
      <c r="AL101" s="86">
        <f>+VLOOKUP($G101,Laundr!$D$10:$K$195,8,FALSE)</f>
        <v>3300</v>
      </c>
      <c r="AM101" s="86"/>
      <c r="AN101" s="86"/>
      <c r="AO101" s="87"/>
      <c r="AP101" s="87"/>
    </row>
    <row r="102" spans="1:42" s="71" customFormat="1" ht="12" outlineLevel="1">
      <c r="A102" s="82"/>
      <c r="B102" s="82"/>
      <c r="C102" s="82"/>
      <c r="D102" s="82"/>
      <c r="E102" s="1134"/>
      <c r="F102" s="1135"/>
      <c r="G102" s="347" t="s">
        <v>428</v>
      </c>
      <c r="H102" s="348"/>
      <c r="I102" s="70" t="s">
        <v>88</v>
      </c>
      <c r="J102" s="86"/>
      <c r="K102" s="86"/>
      <c r="L102" s="86"/>
      <c r="M102" s="70"/>
      <c r="N102" s="86"/>
      <c r="O102" s="86">
        <f>+VLOOKUP($G102,PharmacyL!$D$10:$K$194,8,FALSE)</f>
        <v>0</v>
      </c>
      <c r="P102" s="86"/>
      <c r="Q102" s="70"/>
      <c r="R102" s="86"/>
      <c r="S102" s="86">
        <f>+VLOOKUP($G102,PharmacyS!$D$10:$K$195,8,FALSE)</f>
        <v>0</v>
      </c>
      <c r="T102" s="86"/>
      <c r="U102" s="70"/>
      <c r="V102" s="86"/>
      <c r="W102" s="86">
        <f>+VLOOKUP($G102,HealthCare!$D$10:$K$195,8,FALSE)</f>
        <v>0</v>
      </c>
      <c r="X102" s="86"/>
      <c r="Y102" s="70"/>
      <c r="Z102" s="86"/>
      <c r="AA102" s="86">
        <f>+VLOOKUP($G102,Restaurant!$D$10:$K$194,8,FALSE)</f>
        <v>0</v>
      </c>
      <c r="AB102" s="86"/>
      <c r="AC102" s="70"/>
      <c r="AD102" s="86"/>
      <c r="AE102" s="86">
        <f>+VLOOKUP($G102,GenRetL!$D$10:$K$194,8,FALSE)</f>
        <v>0</v>
      </c>
      <c r="AF102" s="86"/>
      <c r="AG102" s="70"/>
      <c r="AH102" s="86"/>
      <c r="AI102" s="86">
        <f>+VLOOKUP($G102,GenRetS!$D$10:$K$195,8,FALSE)</f>
        <v>0</v>
      </c>
      <c r="AJ102" s="86"/>
      <c r="AK102" s="70"/>
      <c r="AL102" s="86"/>
      <c r="AM102" s="86">
        <f>+VLOOKUP($G102,Laundr!$D$10:$K$195,8,FALSE)</f>
        <v>0</v>
      </c>
      <c r="AN102" s="86"/>
      <c r="AO102" s="87"/>
      <c r="AP102" s="87"/>
    </row>
    <row r="103" spans="1:42" s="71" customFormat="1" ht="12" outlineLevel="1">
      <c r="A103" s="82"/>
      <c r="B103" s="82"/>
      <c r="C103" s="82"/>
      <c r="D103" s="82"/>
      <c r="E103" s="1136"/>
      <c r="F103" s="1137"/>
      <c r="G103" s="347" t="s">
        <v>429</v>
      </c>
      <c r="H103" s="348"/>
      <c r="I103" s="70" t="s">
        <v>191</v>
      </c>
      <c r="J103" s="86" t="s">
        <v>88</v>
      </c>
      <c r="K103" s="86" t="s">
        <v>88</v>
      </c>
      <c r="L103" s="86" t="s">
        <v>217</v>
      </c>
      <c r="M103" s="70"/>
      <c r="N103" s="86"/>
      <c r="O103" s="86"/>
      <c r="P103" s="86">
        <f>+VLOOKUP($G103,PharmacyL!$D$10:$K$194,8,FALSE)</f>
        <v>1000</v>
      </c>
      <c r="Q103" s="70"/>
      <c r="R103" s="86"/>
      <c r="S103" s="86"/>
      <c r="T103" s="86">
        <f>+VLOOKUP($G103,PharmacyS!$D$10:$K$195,8,FALSE)</f>
        <v>1000</v>
      </c>
      <c r="U103" s="70"/>
      <c r="V103" s="86"/>
      <c r="W103" s="86"/>
      <c r="X103" s="86">
        <f>+VLOOKUP($G103,HealthCare!$D$10:$K$195,8,FALSE)</f>
        <v>1000</v>
      </c>
      <c r="Y103" s="70"/>
      <c r="Z103" s="86"/>
      <c r="AA103" s="86"/>
      <c r="AB103" s="86">
        <f>+VLOOKUP($G103,Restaurant!$D$10:$K$194,8,FALSE)</f>
        <v>1000</v>
      </c>
      <c r="AC103" s="70"/>
      <c r="AD103" s="86"/>
      <c r="AE103" s="86"/>
      <c r="AF103" s="86">
        <f>+VLOOKUP($G103,GenRetL!$D$10:$K$194,8,FALSE)</f>
        <v>1000</v>
      </c>
      <c r="AG103" s="70"/>
      <c r="AH103" s="86"/>
      <c r="AI103" s="86"/>
      <c r="AJ103" s="86">
        <f>+VLOOKUP($G103,GenRetS!$D$10:$K$195,8,FALSE)</f>
        <v>1000</v>
      </c>
      <c r="AK103" s="70"/>
      <c r="AL103" s="86"/>
      <c r="AM103" s="86"/>
      <c r="AN103" s="86">
        <f>+VLOOKUP($G103,Laundr!$D$10:$K$195,8,FALSE)</f>
        <v>1000</v>
      </c>
      <c r="AO103" s="87"/>
      <c r="AP103" s="87"/>
    </row>
    <row r="104" spans="1:42" s="71" customFormat="1" ht="12" outlineLevel="1">
      <c r="A104" s="82"/>
      <c r="B104" s="82"/>
      <c r="C104" s="82"/>
      <c r="D104" s="82"/>
      <c r="E104" s="1132" t="s">
        <v>6</v>
      </c>
      <c r="F104" s="1133"/>
      <c r="G104" s="1138" t="s">
        <v>36</v>
      </c>
      <c r="H104" s="1139"/>
      <c r="I104" s="70"/>
      <c r="J104" s="86"/>
      <c r="K104" s="86"/>
      <c r="L104" s="86"/>
      <c r="M104" s="70"/>
      <c r="N104" s="86"/>
      <c r="O104" s="86"/>
      <c r="P104" s="86"/>
      <c r="Q104" s="70"/>
      <c r="R104" s="86"/>
      <c r="S104" s="86"/>
      <c r="T104" s="86"/>
      <c r="U104" s="70"/>
      <c r="V104" s="86"/>
      <c r="W104" s="86"/>
      <c r="X104" s="86"/>
      <c r="Y104" s="70"/>
      <c r="Z104" s="86"/>
      <c r="AA104" s="86"/>
      <c r="AB104" s="86"/>
      <c r="AC104" s="70"/>
      <c r="AD104" s="86"/>
      <c r="AE104" s="86"/>
      <c r="AF104" s="86"/>
      <c r="AG104" s="70"/>
      <c r="AH104" s="86"/>
      <c r="AI104" s="86"/>
      <c r="AJ104" s="86"/>
      <c r="AK104" s="70"/>
      <c r="AL104" s="86"/>
      <c r="AM104" s="86"/>
      <c r="AN104" s="86"/>
      <c r="AO104" s="87"/>
      <c r="AP104" s="87"/>
    </row>
    <row r="105" spans="1:42" s="71" customFormat="1" ht="60" outlineLevel="1">
      <c r="A105" s="82"/>
      <c r="B105" s="82"/>
      <c r="C105" s="82"/>
      <c r="D105" s="82"/>
      <c r="E105" s="1134"/>
      <c r="F105" s="1135"/>
      <c r="G105" s="347" t="s">
        <v>430</v>
      </c>
      <c r="H105" s="348"/>
      <c r="I105" s="70" t="s">
        <v>215</v>
      </c>
      <c r="J105" s="86" t="s">
        <v>218</v>
      </c>
      <c r="K105" s="86" t="s">
        <v>88</v>
      </c>
      <c r="L105" s="86" t="s">
        <v>88</v>
      </c>
      <c r="M105" s="70" t="s">
        <v>228</v>
      </c>
      <c r="N105" s="86">
        <f>+VLOOKUP($G105,PharmacyL!$D$10:$K$194,8,FALSE)</f>
        <v>14700</v>
      </c>
      <c r="O105" s="86"/>
      <c r="P105" s="86"/>
      <c r="Q105" s="70" t="s">
        <v>232</v>
      </c>
      <c r="R105" s="86">
        <f>+VLOOKUP($G105,PharmacyS!$D$10:$K$195,8,FALSE)</f>
        <v>7450</v>
      </c>
      <c r="S105" s="86"/>
      <c r="T105" s="86"/>
      <c r="U105" s="70" t="s">
        <v>240</v>
      </c>
      <c r="V105" s="86">
        <f>+VLOOKUP($G105,HealthCare!$D$10:$K$195,8,FALSE)</f>
        <v>6450</v>
      </c>
      <c r="W105" s="86"/>
      <c r="X105" s="86"/>
      <c r="Y105" s="70" t="s">
        <v>244</v>
      </c>
      <c r="Z105" s="86">
        <f>+VLOOKUP($G105,Restaurant!$D$10:$K$194,8,FALSE)</f>
        <v>9700</v>
      </c>
      <c r="AA105" s="86"/>
      <c r="AB105" s="86"/>
      <c r="AC105" s="70" t="s">
        <v>232</v>
      </c>
      <c r="AD105" s="86">
        <f>+VLOOKUP($G105,GenRetL!$D$10:$K$194,8,FALSE)</f>
        <v>7450</v>
      </c>
      <c r="AE105" s="86"/>
      <c r="AF105" s="86"/>
      <c r="AG105" s="70" t="s">
        <v>251</v>
      </c>
      <c r="AH105" s="86">
        <f>+VLOOKUP($G105,GenRetS!$D$10:$K$195,8,FALSE)</f>
        <v>6200</v>
      </c>
      <c r="AI105" s="86"/>
      <c r="AJ105" s="86"/>
      <c r="AK105" s="70" t="s">
        <v>232</v>
      </c>
      <c r="AL105" s="86">
        <f>+VLOOKUP($G105,Laundr!$D$10:$K$195,8,FALSE)</f>
        <v>7450</v>
      </c>
      <c r="AM105" s="86"/>
      <c r="AN105" s="86"/>
      <c r="AO105" s="87"/>
      <c r="AP105" s="87"/>
    </row>
    <row r="106" spans="1:42" s="71" customFormat="1" ht="12" outlineLevel="1">
      <c r="A106" s="82"/>
      <c r="B106" s="82"/>
      <c r="C106" s="82"/>
      <c r="D106" s="82"/>
      <c r="E106" s="1134"/>
      <c r="F106" s="1135"/>
      <c r="G106" s="347" t="s">
        <v>431</v>
      </c>
      <c r="H106" s="348"/>
      <c r="I106" s="70" t="s">
        <v>88</v>
      </c>
      <c r="J106" s="86"/>
      <c r="K106" s="86"/>
      <c r="L106" s="86"/>
      <c r="M106" s="70" t="s">
        <v>88</v>
      </c>
      <c r="N106" s="86"/>
      <c r="O106" s="86">
        <f>+VLOOKUP($G106,PharmacyL!$D$10:$K$194,8,FALSE)</f>
        <v>0</v>
      </c>
      <c r="P106" s="86"/>
      <c r="Q106" s="70" t="s">
        <v>88</v>
      </c>
      <c r="R106" s="86"/>
      <c r="S106" s="86">
        <f>+VLOOKUP($G106,PharmacyS!$D$10:$K$195,8,FALSE)</f>
        <v>0</v>
      </c>
      <c r="T106" s="86"/>
      <c r="U106" s="70" t="s">
        <v>88</v>
      </c>
      <c r="V106" s="86"/>
      <c r="W106" s="86">
        <f>+VLOOKUP($G106,HealthCare!$D$10:$K$195,8,FALSE)</f>
        <v>0</v>
      </c>
      <c r="X106" s="86"/>
      <c r="Y106" s="70" t="s">
        <v>88</v>
      </c>
      <c r="Z106" s="86"/>
      <c r="AA106" s="86">
        <f>+VLOOKUP($G106,Restaurant!$D$10:$K$194,8,FALSE)</f>
        <v>0</v>
      </c>
      <c r="AB106" s="86"/>
      <c r="AC106" s="70" t="s">
        <v>88</v>
      </c>
      <c r="AD106" s="86"/>
      <c r="AE106" s="86">
        <f>+VLOOKUP($G106,GenRetL!$D$10:$K$194,8,FALSE)</f>
        <v>0</v>
      </c>
      <c r="AF106" s="86"/>
      <c r="AG106" s="70" t="s">
        <v>88</v>
      </c>
      <c r="AH106" s="86"/>
      <c r="AI106" s="86">
        <f>+VLOOKUP($G106,GenRetS!$D$10:$K$195,8,FALSE)</f>
        <v>0</v>
      </c>
      <c r="AJ106" s="86"/>
      <c r="AK106" s="70" t="s">
        <v>88</v>
      </c>
      <c r="AL106" s="86"/>
      <c r="AM106" s="86">
        <f>+VLOOKUP($G106,Laundr!$D$10:$K$195,8,FALSE)</f>
        <v>0</v>
      </c>
      <c r="AN106" s="86"/>
      <c r="AO106" s="87"/>
      <c r="AP106" s="87"/>
    </row>
    <row r="107" spans="1:42" s="71" customFormat="1" ht="12" outlineLevel="1">
      <c r="A107" s="82"/>
      <c r="B107" s="82"/>
      <c r="C107" s="82"/>
      <c r="D107" s="82"/>
      <c r="E107" s="1136"/>
      <c r="F107" s="1137"/>
      <c r="G107" s="347" t="s">
        <v>432</v>
      </c>
      <c r="H107" s="348"/>
      <c r="I107" s="70" t="s">
        <v>191</v>
      </c>
      <c r="J107" s="86" t="s">
        <v>88</v>
      </c>
      <c r="K107" s="86" t="s">
        <v>88</v>
      </c>
      <c r="L107" s="86" t="s">
        <v>217</v>
      </c>
      <c r="M107" s="70" t="s">
        <v>191</v>
      </c>
      <c r="N107" s="86"/>
      <c r="O107" s="86"/>
      <c r="P107" s="86">
        <f>+VLOOKUP($G107,PharmacyL!$D$10:$K$194,8,FALSE)</f>
        <v>1000</v>
      </c>
      <c r="Q107" s="70" t="s">
        <v>191</v>
      </c>
      <c r="R107" s="86"/>
      <c r="S107" s="86"/>
      <c r="T107" s="86">
        <f>+VLOOKUP($G107,PharmacyS!$D$10:$K$195,8,FALSE)</f>
        <v>1000</v>
      </c>
      <c r="U107" s="70" t="s">
        <v>191</v>
      </c>
      <c r="V107" s="86"/>
      <c r="W107" s="86"/>
      <c r="X107" s="86">
        <f>+VLOOKUP($G107,HealthCare!$D$10:$K$195,8,FALSE)</f>
        <v>1000</v>
      </c>
      <c r="Y107" s="70" t="s">
        <v>191</v>
      </c>
      <c r="Z107" s="86"/>
      <c r="AA107" s="86"/>
      <c r="AB107" s="86">
        <f>+VLOOKUP($G107,Restaurant!$D$10:$K$194,8,FALSE)</f>
        <v>1000</v>
      </c>
      <c r="AC107" s="70" t="s">
        <v>191</v>
      </c>
      <c r="AD107" s="86"/>
      <c r="AE107" s="86"/>
      <c r="AF107" s="86">
        <f>+VLOOKUP($G107,GenRetL!$D$10:$K$194,8,FALSE)</f>
        <v>1000</v>
      </c>
      <c r="AG107" s="70" t="s">
        <v>191</v>
      </c>
      <c r="AH107" s="86"/>
      <c r="AI107" s="86"/>
      <c r="AJ107" s="86">
        <f>+VLOOKUP($G107,GenRetS!$D$10:$K$195,8,FALSE)</f>
        <v>1000</v>
      </c>
      <c r="AK107" s="70" t="s">
        <v>191</v>
      </c>
      <c r="AL107" s="86"/>
      <c r="AM107" s="86"/>
      <c r="AN107" s="86">
        <f>+VLOOKUP($G107,Laundr!$D$10:$K$195,8,FALSE)</f>
        <v>1000</v>
      </c>
      <c r="AO107" s="87"/>
      <c r="AP107" s="87"/>
    </row>
    <row r="108" spans="1:42" s="85" customFormat="1" ht="12">
      <c r="A108" s="84"/>
      <c r="B108" s="84"/>
      <c r="C108" s="84"/>
      <c r="D108" s="84"/>
      <c r="E108" s="79">
        <v>2.2000000000000002</v>
      </c>
      <c r="F108" s="1140" t="s">
        <v>37</v>
      </c>
      <c r="G108" s="1141"/>
      <c r="H108" s="1142"/>
      <c r="I108" s="70"/>
      <c r="J108" s="86"/>
      <c r="K108" s="86"/>
      <c r="L108" s="86"/>
      <c r="M108" s="70"/>
      <c r="N108" s="86"/>
      <c r="O108" s="86"/>
      <c r="P108" s="86"/>
      <c r="Q108" s="70"/>
      <c r="R108" s="86"/>
      <c r="S108" s="86"/>
      <c r="T108" s="86"/>
      <c r="U108" s="70"/>
      <c r="V108" s="86"/>
      <c r="W108" s="86"/>
      <c r="X108" s="86"/>
      <c r="Y108" s="70"/>
      <c r="Z108" s="86"/>
      <c r="AA108" s="86"/>
      <c r="AB108" s="86"/>
      <c r="AC108" s="70"/>
      <c r="AD108" s="86"/>
      <c r="AE108" s="86"/>
      <c r="AF108" s="86"/>
      <c r="AG108" s="70"/>
      <c r="AH108" s="86"/>
      <c r="AI108" s="86"/>
      <c r="AJ108" s="86"/>
      <c r="AK108" s="70"/>
      <c r="AL108" s="86"/>
      <c r="AM108" s="86"/>
      <c r="AN108" s="86"/>
      <c r="AO108" s="87"/>
      <c r="AP108" s="87"/>
    </row>
    <row r="109" spans="1:42" s="71" customFormat="1" ht="12" outlineLevel="1">
      <c r="A109" s="82"/>
      <c r="B109" s="82"/>
      <c r="C109" s="82"/>
      <c r="D109" s="82"/>
      <c r="E109" s="1132" t="s">
        <v>5</v>
      </c>
      <c r="F109" s="1133"/>
      <c r="G109" s="1138" t="s">
        <v>39</v>
      </c>
      <c r="H109" s="1139"/>
      <c r="I109" s="70"/>
      <c r="J109" s="86"/>
      <c r="K109" s="86"/>
      <c r="L109" s="86"/>
      <c r="M109" s="70"/>
      <c r="N109" s="86"/>
      <c r="O109" s="86"/>
      <c r="P109" s="86"/>
      <c r="Q109" s="70"/>
      <c r="R109" s="86"/>
      <c r="S109" s="86"/>
      <c r="T109" s="86"/>
      <c r="U109" s="70"/>
      <c r="V109" s="86"/>
      <c r="W109" s="86"/>
      <c r="X109" s="86"/>
      <c r="Y109" s="70"/>
      <c r="Z109" s="86"/>
      <c r="AA109" s="86"/>
      <c r="AB109" s="86"/>
      <c r="AC109" s="70"/>
      <c r="AD109" s="86"/>
      <c r="AE109" s="86"/>
      <c r="AF109" s="86"/>
      <c r="AG109" s="70"/>
      <c r="AH109" s="86"/>
      <c r="AI109" s="86"/>
      <c r="AJ109" s="86"/>
      <c r="AK109" s="70"/>
      <c r="AL109" s="86"/>
      <c r="AM109" s="86"/>
      <c r="AN109" s="86"/>
      <c r="AO109" s="87"/>
      <c r="AP109" s="87"/>
    </row>
    <row r="110" spans="1:42" s="71" customFormat="1" ht="12" outlineLevel="1">
      <c r="A110" s="82"/>
      <c r="B110" s="82"/>
      <c r="C110" s="82"/>
      <c r="D110" s="82"/>
      <c r="E110" s="1134"/>
      <c r="F110" s="1135"/>
      <c r="G110" s="347" t="s">
        <v>433</v>
      </c>
      <c r="H110" s="348"/>
      <c r="I110" s="70" t="s">
        <v>88</v>
      </c>
      <c r="J110" s="86">
        <f>+VLOOKUP($G110,Supermarket!$D$117:$K$128,8,FALSE)</f>
        <v>0</v>
      </c>
      <c r="K110" s="86"/>
      <c r="L110" s="86"/>
      <c r="M110" s="70" t="s">
        <v>88</v>
      </c>
      <c r="N110" s="86">
        <f>+VLOOKUP($G110,PharmacyL!$D$10:$K$194,8,FALSE)</f>
        <v>0</v>
      </c>
      <c r="O110" s="86"/>
      <c r="P110" s="86"/>
      <c r="Q110" s="70" t="s">
        <v>88</v>
      </c>
      <c r="R110" s="86">
        <f>+VLOOKUP($G110,PharmacyS!$D$10:$K$195,8,FALSE)</f>
        <v>0</v>
      </c>
      <c r="S110" s="86"/>
      <c r="T110" s="86"/>
      <c r="U110" s="70" t="s">
        <v>88</v>
      </c>
      <c r="V110" s="86">
        <f>+VLOOKUP($G110,HealthCare!$D$10:$K$195,8,FALSE)</f>
        <v>0</v>
      </c>
      <c r="W110" s="86"/>
      <c r="X110" s="86"/>
      <c r="Y110" s="70" t="s">
        <v>88</v>
      </c>
      <c r="Z110" s="86">
        <f>+VLOOKUP($G110,Restaurant!$D$10:$K$194,8,FALSE)</f>
        <v>0</v>
      </c>
      <c r="AA110" s="86"/>
      <c r="AB110" s="86"/>
      <c r="AC110" s="70" t="s">
        <v>88</v>
      </c>
      <c r="AD110" s="86">
        <f>+VLOOKUP($G110,GenRetL!$D$10:$K$194,8,FALSE)</f>
        <v>0</v>
      </c>
      <c r="AE110" s="86"/>
      <c r="AF110" s="86"/>
      <c r="AG110" s="70" t="s">
        <v>88</v>
      </c>
      <c r="AH110" s="86">
        <f>+VLOOKUP($G110,GenRetS!$D$10:$K$195,8,FALSE)</f>
        <v>0</v>
      </c>
      <c r="AI110" s="86"/>
      <c r="AJ110" s="86"/>
      <c r="AK110" s="70" t="s">
        <v>88</v>
      </c>
      <c r="AL110" s="86">
        <f>+VLOOKUP($G110,Laundr!$D$10:$K$195,8,FALSE)</f>
        <v>0</v>
      </c>
      <c r="AM110" s="86"/>
      <c r="AN110" s="86"/>
      <c r="AO110" s="87"/>
      <c r="AP110" s="87"/>
    </row>
    <row r="111" spans="1:42" s="71" customFormat="1" ht="12" outlineLevel="1">
      <c r="A111" s="82"/>
      <c r="B111" s="82"/>
      <c r="C111" s="82"/>
      <c r="D111" s="82"/>
      <c r="E111" s="1134"/>
      <c r="F111" s="1135"/>
      <c r="G111" s="347" t="s">
        <v>434</v>
      </c>
      <c r="H111" s="348"/>
      <c r="I111" s="70" t="s">
        <v>88</v>
      </c>
      <c r="J111" s="86"/>
      <c r="K111" s="86">
        <f>+VLOOKUP($G111,Supermarket!$D$117:$K$128,8,FALSE)</f>
        <v>0</v>
      </c>
      <c r="L111" s="86"/>
      <c r="M111" s="70" t="s">
        <v>88</v>
      </c>
      <c r="N111" s="86"/>
      <c r="O111" s="86">
        <f>+VLOOKUP($G111,PharmacyL!$D$10:$K$194,8,FALSE)</f>
        <v>0</v>
      </c>
      <c r="P111" s="86"/>
      <c r="Q111" s="70" t="s">
        <v>88</v>
      </c>
      <c r="R111" s="86"/>
      <c r="S111" s="86">
        <f>+VLOOKUP($G111,PharmacyS!$D$10:$K$195,8,FALSE)</f>
        <v>0</v>
      </c>
      <c r="T111" s="86"/>
      <c r="U111" s="70" t="s">
        <v>88</v>
      </c>
      <c r="V111" s="86"/>
      <c r="W111" s="86">
        <f>+VLOOKUP($G111,HealthCare!$D$10:$K$195,8,FALSE)</f>
        <v>0</v>
      </c>
      <c r="X111" s="86"/>
      <c r="Y111" s="70" t="s">
        <v>88</v>
      </c>
      <c r="Z111" s="86"/>
      <c r="AA111" s="86">
        <f>+VLOOKUP($G111,Restaurant!$D$10:$K$194,8,FALSE)</f>
        <v>0</v>
      </c>
      <c r="AB111" s="86"/>
      <c r="AC111" s="70" t="s">
        <v>88</v>
      </c>
      <c r="AD111" s="86"/>
      <c r="AE111" s="86">
        <f>+VLOOKUP($G111,GenRetL!$D$10:$K$194,8,FALSE)</f>
        <v>0</v>
      </c>
      <c r="AF111" s="86"/>
      <c r="AG111" s="70" t="s">
        <v>88</v>
      </c>
      <c r="AH111" s="86"/>
      <c r="AI111" s="86">
        <f>+VLOOKUP($G111,GenRetS!$D$10:$K$195,8,FALSE)</f>
        <v>0</v>
      </c>
      <c r="AJ111" s="86"/>
      <c r="AK111" s="70" t="s">
        <v>88</v>
      </c>
      <c r="AL111" s="86"/>
      <c r="AM111" s="86">
        <f>+VLOOKUP($G111,Laundr!$D$10:$K$195,8,FALSE)</f>
        <v>0</v>
      </c>
      <c r="AN111" s="86"/>
      <c r="AO111" s="87"/>
      <c r="AP111" s="87"/>
    </row>
    <row r="112" spans="1:42" s="71" customFormat="1" ht="24" outlineLevel="1">
      <c r="A112" s="82"/>
      <c r="B112" s="82"/>
      <c r="C112" s="82"/>
      <c r="D112" s="82"/>
      <c r="E112" s="1136"/>
      <c r="F112" s="1137"/>
      <c r="G112" s="347" t="s">
        <v>435</v>
      </c>
      <c r="H112" s="348"/>
      <c r="I112" s="70" t="s">
        <v>223</v>
      </c>
      <c r="J112" s="86"/>
      <c r="K112" s="86"/>
      <c r="L112" s="86">
        <f>+VLOOKUP($G112,Supermarket!$D$117:$K$128,8,FALSE)</f>
        <v>1200</v>
      </c>
      <c r="M112" s="70" t="s">
        <v>223</v>
      </c>
      <c r="N112" s="86"/>
      <c r="O112" s="86"/>
      <c r="P112" s="86">
        <f>+VLOOKUP($G112,PharmacyL!$D$10:$K$194,8,FALSE)</f>
        <v>1200</v>
      </c>
      <c r="Q112" s="70" t="s">
        <v>223</v>
      </c>
      <c r="R112" s="86"/>
      <c r="S112" s="86"/>
      <c r="T112" s="86">
        <f>+VLOOKUP($G112,PharmacyS!$D$10:$K$195,8,FALSE)</f>
        <v>600</v>
      </c>
      <c r="U112" s="70" t="s">
        <v>223</v>
      </c>
      <c r="V112" s="86"/>
      <c r="W112" s="86"/>
      <c r="X112" s="86">
        <f>+VLOOKUP($G112,HealthCare!$D$10:$K$195,8,FALSE)</f>
        <v>450</v>
      </c>
      <c r="Y112" s="70" t="s">
        <v>223</v>
      </c>
      <c r="Z112" s="86"/>
      <c r="AA112" s="86"/>
      <c r="AB112" s="86">
        <f>+VLOOKUP($G112,Restaurant!$D$10:$K$194,8,FALSE)</f>
        <v>450</v>
      </c>
      <c r="AC112" s="70" t="s">
        <v>223</v>
      </c>
      <c r="AD112" s="86"/>
      <c r="AE112" s="86"/>
      <c r="AF112" s="86">
        <f>+VLOOKUP($G112,GenRetL!$D$10:$K$194,8,FALSE)</f>
        <v>600</v>
      </c>
      <c r="AG112" s="70" t="s">
        <v>223</v>
      </c>
      <c r="AH112" s="86"/>
      <c r="AI112" s="86"/>
      <c r="AJ112" s="86">
        <f>+VLOOKUP($G112,GenRetS!$D$10:$K$195,8,FALSE)</f>
        <v>300</v>
      </c>
      <c r="AK112" s="70" t="s">
        <v>223</v>
      </c>
      <c r="AL112" s="86"/>
      <c r="AM112" s="86"/>
      <c r="AN112" s="86">
        <f>+VLOOKUP($G112,Laundr!$D$10:$K$195,8,FALSE)</f>
        <v>300</v>
      </c>
      <c r="AO112" s="87"/>
      <c r="AP112" s="87"/>
    </row>
    <row r="113" spans="1:42" s="71" customFormat="1" ht="12" outlineLevel="1">
      <c r="A113" s="82"/>
      <c r="B113" s="82"/>
      <c r="C113" s="82"/>
      <c r="D113" s="82"/>
      <c r="E113" s="1132" t="s">
        <v>6</v>
      </c>
      <c r="F113" s="1133"/>
      <c r="G113" s="1138" t="s">
        <v>219</v>
      </c>
      <c r="H113" s="1139"/>
      <c r="I113" s="349"/>
      <c r="J113" s="86"/>
      <c r="K113" s="86"/>
      <c r="L113" s="86"/>
      <c r="M113" s="349"/>
      <c r="N113" s="86"/>
      <c r="O113" s="86"/>
      <c r="P113" s="86"/>
      <c r="Q113" s="349"/>
      <c r="R113" s="86"/>
      <c r="S113" s="86"/>
      <c r="T113" s="86"/>
      <c r="U113" s="349"/>
      <c r="V113" s="86"/>
      <c r="W113" s="86"/>
      <c r="X113" s="86"/>
      <c r="Y113" s="349"/>
      <c r="Z113" s="86"/>
      <c r="AA113" s="86"/>
      <c r="AB113" s="86"/>
      <c r="AC113" s="349"/>
      <c r="AD113" s="86"/>
      <c r="AE113" s="86"/>
      <c r="AF113" s="86"/>
      <c r="AG113" s="349"/>
      <c r="AH113" s="86"/>
      <c r="AI113" s="86"/>
      <c r="AJ113" s="86"/>
      <c r="AK113" s="349"/>
      <c r="AL113" s="86"/>
      <c r="AM113" s="86"/>
      <c r="AN113" s="86"/>
      <c r="AO113" s="87"/>
      <c r="AP113" s="87"/>
    </row>
    <row r="114" spans="1:42" s="71" customFormat="1" ht="12" outlineLevel="1">
      <c r="A114" s="82"/>
      <c r="B114" s="82"/>
      <c r="C114" s="82"/>
      <c r="D114" s="82"/>
      <c r="E114" s="1134"/>
      <c r="F114" s="1135"/>
      <c r="G114" s="347" t="s">
        <v>436</v>
      </c>
      <c r="H114" s="348"/>
      <c r="I114" s="70" t="s">
        <v>88</v>
      </c>
      <c r="J114" s="86">
        <f>+VLOOKUP($G114,Supermarket!$D$117:$K$128,8,FALSE)</f>
        <v>0</v>
      </c>
      <c r="K114" s="86"/>
      <c r="L114" s="86"/>
      <c r="M114" s="70" t="s">
        <v>88</v>
      </c>
      <c r="N114" s="86">
        <f>+VLOOKUP($G114,PharmacyL!$D$10:$K$194,8,FALSE)</f>
        <v>0</v>
      </c>
      <c r="O114" s="86"/>
      <c r="P114" s="86"/>
      <c r="Q114" s="70" t="s">
        <v>88</v>
      </c>
      <c r="R114" s="86">
        <f>+VLOOKUP($G114,PharmacyS!$D$10:$K$195,8,FALSE)</f>
        <v>0</v>
      </c>
      <c r="S114" s="86"/>
      <c r="T114" s="86"/>
      <c r="U114" s="70" t="s">
        <v>88</v>
      </c>
      <c r="V114" s="86">
        <f>+VLOOKUP($G114,HealthCare!$D$10:$K$195,8,FALSE)</f>
        <v>0</v>
      </c>
      <c r="W114" s="86"/>
      <c r="X114" s="86"/>
      <c r="Y114" s="70" t="s">
        <v>88</v>
      </c>
      <c r="Z114" s="86">
        <f>+VLOOKUP($G114,Restaurant!$D$10:$K$194,8,FALSE)</f>
        <v>0</v>
      </c>
      <c r="AA114" s="86"/>
      <c r="AB114" s="86"/>
      <c r="AC114" s="70" t="s">
        <v>88</v>
      </c>
      <c r="AD114" s="86">
        <f>+VLOOKUP($G114,GenRetL!$D$10:$K$194,8,FALSE)</f>
        <v>0</v>
      </c>
      <c r="AE114" s="86"/>
      <c r="AF114" s="86"/>
      <c r="AG114" s="70" t="s">
        <v>88</v>
      </c>
      <c r="AH114" s="86">
        <f>+VLOOKUP($G114,GenRetS!$D$10:$K$195,8,FALSE)</f>
        <v>0</v>
      </c>
      <c r="AI114" s="86"/>
      <c r="AJ114" s="86"/>
      <c r="AK114" s="70" t="s">
        <v>88</v>
      </c>
      <c r="AL114" s="86">
        <f>+VLOOKUP($G114,Laundr!$D$10:$K$195,8,FALSE)</f>
        <v>0</v>
      </c>
      <c r="AM114" s="86"/>
      <c r="AN114" s="86"/>
      <c r="AO114" s="87"/>
      <c r="AP114" s="87"/>
    </row>
    <row r="115" spans="1:42" s="71" customFormat="1" ht="12" outlineLevel="1">
      <c r="A115" s="82"/>
      <c r="B115" s="82"/>
      <c r="C115" s="82"/>
      <c r="D115" s="82"/>
      <c r="E115" s="1134"/>
      <c r="F115" s="1135"/>
      <c r="G115" s="347" t="s">
        <v>437</v>
      </c>
      <c r="H115" s="348"/>
      <c r="I115" s="70" t="s">
        <v>88</v>
      </c>
      <c r="J115" s="86"/>
      <c r="K115" s="86">
        <f>+VLOOKUP($G115,Supermarket!$D$117:$K$128,8,FALSE)</f>
        <v>0</v>
      </c>
      <c r="L115" s="86"/>
      <c r="M115" s="70" t="s">
        <v>88</v>
      </c>
      <c r="N115" s="86"/>
      <c r="O115" s="86">
        <f>+VLOOKUP($G115,PharmacyL!$D$10:$K$194,8,FALSE)</f>
        <v>0</v>
      </c>
      <c r="P115" s="86"/>
      <c r="Q115" s="70" t="s">
        <v>88</v>
      </c>
      <c r="R115" s="86"/>
      <c r="S115" s="86">
        <f>+VLOOKUP($G115,PharmacyS!$D$10:$K$195,8,FALSE)</f>
        <v>0</v>
      </c>
      <c r="T115" s="86"/>
      <c r="U115" s="70" t="s">
        <v>88</v>
      </c>
      <c r="V115" s="86"/>
      <c r="W115" s="86">
        <f>+VLOOKUP($G115,HealthCare!$D$10:$K$195,8,FALSE)</f>
        <v>0</v>
      </c>
      <c r="X115" s="86"/>
      <c r="Y115" s="70" t="s">
        <v>88</v>
      </c>
      <c r="Z115" s="86"/>
      <c r="AA115" s="86">
        <f>+VLOOKUP($G115,Restaurant!$D$10:$K$194,8,FALSE)</f>
        <v>0</v>
      </c>
      <c r="AB115" s="86"/>
      <c r="AC115" s="70" t="s">
        <v>88</v>
      </c>
      <c r="AD115" s="86"/>
      <c r="AE115" s="86">
        <f>+VLOOKUP($G115,GenRetL!$D$10:$K$194,8,FALSE)</f>
        <v>0</v>
      </c>
      <c r="AF115" s="86"/>
      <c r="AG115" s="70" t="s">
        <v>88</v>
      </c>
      <c r="AH115" s="86"/>
      <c r="AI115" s="86">
        <f>+VLOOKUP($G115,GenRetS!$D$10:$K$195,8,FALSE)</f>
        <v>0</v>
      </c>
      <c r="AJ115" s="86"/>
      <c r="AK115" s="70" t="s">
        <v>88</v>
      </c>
      <c r="AL115" s="86"/>
      <c r="AM115" s="86">
        <f>+VLOOKUP($G115,Laundr!$D$10:$K$195,8,FALSE)</f>
        <v>0</v>
      </c>
      <c r="AN115" s="86"/>
      <c r="AO115" s="87"/>
      <c r="AP115" s="87"/>
    </row>
    <row r="116" spans="1:42" s="71" customFormat="1" ht="36" outlineLevel="1">
      <c r="A116" s="82"/>
      <c r="B116" s="82"/>
      <c r="C116" s="82"/>
      <c r="D116" s="82"/>
      <c r="E116" s="1134"/>
      <c r="F116" s="1135"/>
      <c r="G116" s="347" t="s">
        <v>447</v>
      </c>
      <c r="H116" s="348" t="s">
        <v>192</v>
      </c>
      <c r="I116" s="70" t="s">
        <v>229</v>
      </c>
      <c r="J116" s="86" t="s">
        <v>88</v>
      </c>
      <c r="K116" s="86" t="s">
        <v>88</v>
      </c>
      <c r="L116" s="86">
        <f>+VLOOKUP($G116,Supermarket!$D$117:$K$128,8,FALSE)</f>
        <v>26000</v>
      </c>
      <c r="M116" s="70" t="s">
        <v>230</v>
      </c>
      <c r="N116" s="86"/>
      <c r="O116" s="86"/>
      <c r="P116" s="86">
        <f>+VLOOKUP($G116,PharmacyL!$D$10:$K$194,8,FALSE)</f>
        <v>21000</v>
      </c>
      <c r="Q116" s="70" t="s">
        <v>233</v>
      </c>
      <c r="R116" s="86"/>
      <c r="S116" s="86"/>
      <c r="T116" s="86">
        <f>+VLOOKUP($G116,PharmacyS!$D$10:$K$195,8,FALSE)</f>
        <v>10340</v>
      </c>
      <c r="U116" s="70" t="s">
        <v>241</v>
      </c>
      <c r="V116" s="86"/>
      <c r="W116" s="86"/>
      <c r="X116" s="86">
        <f>+VLOOKUP($G116,HealthCare!$D$10:$K$195,8,FALSE)</f>
        <v>9650</v>
      </c>
      <c r="Y116" s="70" t="s">
        <v>230</v>
      </c>
      <c r="Z116" s="86"/>
      <c r="AA116" s="86"/>
      <c r="AB116" s="86">
        <f>+VLOOKUP($G116,Restaurant!$D$10:$K$194,8,FALSE)</f>
        <v>21000</v>
      </c>
      <c r="AC116" s="70" t="s">
        <v>249</v>
      </c>
      <c r="AD116" s="86"/>
      <c r="AE116" s="86"/>
      <c r="AF116" s="86">
        <f>+VLOOKUP($G116,GenRetL!$D$10:$K$194,8,FALSE)</f>
        <v>10340</v>
      </c>
      <c r="AG116" s="70" t="s">
        <v>253</v>
      </c>
      <c r="AH116" s="86"/>
      <c r="AI116" s="86"/>
      <c r="AJ116" s="86">
        <f>+VLOOKUP($G116,GenRetS!$D$10:$K$195,8,FALSE)</f>
        <v>9000</v>
      </c>
      <c r="AK116" s="70" t="s">
        <v>249</v>
      </c>
      <c r="AL116" s="86"/>
      <c r="AM116" s="86"/>
      <c r="AN116" s="86">
        <f>+VLOOKUP($G116,Laundr!$D$10:$K$195,8,FALSE)</f>
        <v>10340</v>
      </c>
      <c r="AO116" s="87"/>
      <c r="AP116" s="87"/>
    </row>
    <row r="117" spans="1:42" s="71" customFormat="1" ht="12" outlineLevel="1">
      <c r="A117" s="82"/>
      <c r="B117" s="82"/>
      <c r="C117" s="82"/>
      <c r="D117" s="82"/>
      <c r="E117" s="1132" t="s">
        <v>7</v>
      </c>
      <c r="F117" s="1133"/>
      <c r="G117" s="1138" t="s">
        <v>193</v>
      </c>
      <c r="H117" s="1139"/>
      <c r="I117" s="70"/>
      <c r="J117" s="86"/>
      <c r="K117" s="86"/>
      <c r="L117" s="86"/>
      <c r="M117" s="70"/>
      <c r="N117" s="86"/>
      <c r="O117" s="86"/>
      <c r="P117" s="86"/>
      <c r="Q117" s="70"/>
      <c r="R117" s="86"/>
      <c r="S117" s="86"/>
      <c r="T117" s="86"/>
      <c r="U117" s="70"/>
      <c r="V117" s="86"/>
      <c r="W117" s="86"/>
      <c r="X117" s="86"/>
      <c r="Y117" s="70"/>
      <c r="Z117" s="86"/>
      <c r="AA117" s="86"/>
      <c r="AB117" s="86"/>
      <c r="AC117" s="70"/>
      <c r="AD117" s="86"/>
      <c r="AE117" s="86"/>
      <c r="AF117" s="86"/>
      <c r="AG117" s="70"/>
      <c r="AH117" s="86"/>
      <c r="AI117" s="86"/>
      <c r="AJ117" s="86"/>
      <c r="AK117" s="70"/>
      <c r="AL117" s="86"/>
      <c r="AM117" s="86"/>
      <c r="AN117" s="86"/>
      <c r="AO117" s="87"/>
      <c r="AP117" s="87"/>
    </row>
    <row r="118" spans="1:42" s="71" customFormat="1" ht="36" outlineLevel="1">
      <c r="A118" s="82"/>
      <c r="B118" s="82"/>
      <c r="C118" s="82"/>
      <c r="D118" s="82"/>
      <c r="E118" s="1134"/>
      <c r="F118" s="1135"/>
      <c r="G118" s="347" t="s">
        <v>438</v>
      </c>
      <c r="H118" s="348"/>
      <c r="I118" s="70" t="s">
        <v>235</v>
      </c>
      <c r="J118" s="86" t="s">
        <v>221</v>
      </c>
      <c r="K118" s="86" t="s">
        <v>88</v>
      </c>
      <c r="L118" s="86" t="s">
        <v>88</v>
      </c>
      <c r="M118" s="70" t="s">
        <v>234</v>
      </c>
      <c r="N118" s="86">
        <f>+VLOOKUP($G118,PharmacyL!$D$10:$K$194,8,FALSE)</f>
        <v>23000</v>
      </c>
      <c r="O118" s="86"/>
      <c r="P118" s="86"/>
      <c r="Q118" s="70" t="s">
        <v>248</v>
      </c>
      <c r="R118" s="86">
        <f>+VLOOKUP($G118,PharmacyS!$D$10:$K$195,8,FALSE)</f>
        <v>13340</v>
      </c>
      <c r="S118" s="86"/>
      <c r="T118" s="86"/>
      <c r="U118" s="70" t="s">
        <v>242</v>
      </c>
      <c r="V118" s="86">
        <f>+VLOOKUP($G118,HealthCare!$D$10:$K$195,8,FALSE)</f>
        <v>12650</v>
      </c>
      <c r="W118" s="86"/>
      <c r="X118" s="86"/>
      <c r="Y118" s="70" t="s">
        <v>245</v>
      </c>
      <c r="Z118" s="86">
        <f>+VLOOKUP($G118,Restaurant!$D$10:$K$194,8,FALSE)</f>
        <v>24000</v>
      </c>
      <c r="AA118" s="86"/>
      <c r="AB118" s="86"/>
      <c r="AC118" s="70" t="s">
        <v>247</v>
      </c>
      <c r="AD118" s="86">
        <f>+VLOOKUP($G118,GenRetL!$D$10:$K$194,8,FALSE)</f>
        <v>13340</v>
      </c>
      <c r="AE118" s="86">
        <f>+VLOOKUP($G118,GenRetL!$D$10:$K$194,8,FALSE)</f>
        <v>13340</v>
      </c>
      <c r="AF118" s="86"/>
      <c r="AG118" s="70" t="s">
        <v>252</v>
      </c>
      <c r="AH118" s="86">
        <f>+VLOOKUP($G118,GenRetS!$D$10:$K$195,8,FALSE)</f>
        <v>12000</v>
      </c>
      <c r="AI118" s="86"/>
      <c r="AJ118" s="86"/>
      <c r="AK118" s="70" t="s">
        <v>248</v>
      </c>
      <c r="AL118" s="86">
        <f>+VLOOKUP($G118,Laundr!$D$10:$K$195,8,FALSE)</f>
        <v>13340</v>
      </c>
      <c r="AM118" s="86"/>
      <c r="AN118" s="86"/>
      <c r="AO118" s="87"/>
      <c r="AP118" s="87"/>
    </row>
    <row r="119" spans="1:42" s="71" customFormat="1" ht="12" outlineLevel="1">
      <c r="A119" s="82"/>
      <c r="B119" s="82"/>
      <c r="C119" s="82"/>
      <c r="D119" s="82"/>
      <c r="E119" s="1134"/>
      <c r="F119" s="1135"/>
      <c r="G119" s="347" t="s">
        <v>439</v>
      </c>
      <c r="H119" s="348"/>
      <c r="I119" s="70" t="s">
        <v>88</v>
      </c>
      <c r="J119" s="86"/>
      <c r="K119" s="86">
        <f>+VLOOKUP($G119,Supermarket!$D$117:$K$128,8,FALSE)</f>
        <v>0</v>
      </c>
      <c r="L119" s="86"/>
      <c r="M119" s="70" t="s">
        <v>88</v>
      </c>
      <c r="N119" s="86"/>
      <c r="O119" s="86">
        <f>+VLOOKUP($G119,PharmacyL!$D$10:$K$194,8,FALSE)</f>
        <v>0</v>
      </c>
      <c r="P119" s="86"/>
      <c r="Q119" s="70" t="s">
        <v>88</v>
      </c>
      <c r="R119" s="86"/>
      <c r="S119" s="86">
        <f>+VLOOKUP($G119,PharmacyS!$D$10:$K$195,8,FALSE)</f>
        <v>0</v>
      </c>
      <c r="T119" s="86"/>
      <c r="U119" s="70" t="s">
        <v>88</v>
      </c>
      <c r="V119" s="86"/>
      <c r="W119" s="86">
        <f>+VLOOKUP($G119,HealthCare!$D$10:$K$195,8,FALSE)</f>
        <v>0</v>
      </c>
      <c r="X119" s="86"/>
      <c r="Y119" s="70" t="s">
        <v>88</v>
      </c>
      <c r="Z119" s="86"/>
      <c r="AA119" s="86">
        <f>+VLOOKUP($G119,Restaurant!$D$10:$K$194,8,FALSE)</f>
        <v>0</v>
      </c>
      <c r="AB119" s="86"/>
      <c r="AC119" s="70" t="s">
        <v>88</v>
      </c>
      <c r="AD119" s="86"/>
      <c r="AE119" s="86">
        <f>+VLOOKUP($G119,GenRetL!$D$10:$K$194,8,FALSE)</f>
        <v>0</v>
      </c>
      <c r="AF119" s="86"/>
      <c r="AG119" s="70" t="s">
        <v>88</v>
      </c>
      <c r="AH119" s="86"/>
      <c r="AI119" s="86">
        <f>+VLOOKUP($G119,GenRetS!$D$10:$K$195,8,FALSE)</f>
        <v>0</v>
      </c>
      <c r="AJ119" s="86"/>
      <c r="AK119" s="70" t="s">
        <v>88</v>
      </c>
      <c r="AL119" s="86"/>
      <c r="AM119" s="86">
        <f>+VLOOKUP($G119,Laundr!$D$10:$K$195,8,FALSE)</f>
        <v>0</v>
      </c>
      <c r="AN119" s="86"/>
      <c r="AO119" s="87"/>
      <c r="AP119" s="87"/>
    </row>
    <row r="120" spans="1:42" s="71" customFormat="1" ht="12" outlineLevel="1">
      <c r="A120" s="82"/>
      <c r="B120" s="82"/>
      <c r="C120" s="82"/>
      <c r="D120" s="82"/>
      <c r="E120" s="1136"/>
      <c r="F120" s="1137"/>
      <c r="G120" s="347" t="s">
        <v>440</v>
      </c>
      <c r="H120" s="348"/>
      <c r="I120" s="70" t="s">
        <v>191</v>
      </c>
      <c r="J120" s="86" t="s">
        <v>88</v>
      </c>
      <c r="K120" s="86" t="s">
        <v>88</v>
      </c>
      <c r="L120" s="86" t="s">
        <v>220</v>
      </c>
      <c r="M120" s="70" t="s">
        <v>191</v>
      </c>
      <c r="N120" s="86"/>
      <c r="O120" s="86"/>
      <c r="P120" s="86">
        <f>+VLOOKUP($G120,PharmacyL!$D$10:$K$194,8,FALSE)</f>
        <v>1000</v>
      </c>
      <c r="Q120" s="70" t="s">
        <v>191</v>
      </c>
      <c r="R120" s="86"/>
      <c r="S120" s="86"/>
      <c r="T120" s="86">
        <f>+VLOOKUP($G120,PharmacyS!$D$10:$K$195,8,FALSE)</f>
        <v>1000</v>
      </c>
      <c r="U120" s="70" t="s">
        <v>191</v>
      </c>
      <c r="V120" s="86"/>
      <c r="W120" s="86"/>
      <c r="X120" s="86">
        <f>+VLOOKUP($G120,HealthCare!$D$10:$K$195,8,FALSE)</f>
        <v>1000</v>
      </c>
      <c r="Y120" s="70" t="s">
        <v>191</v>
      </c>
      <c r="Z120" s="86"/>
      <c r="AA120" s="86"/>
      <c r="AB120" s="86">
        <f>+VLOOKUP($G120,Restaurant!$D$10:$K$194,8,FALSE)</f>
        <v>1000</v>
      </c>
      <c r="AC120" s="70" t="s">
        <v>191</v>
      </c>
      <c r="AD120" s="86"/>
      <c r="AE120" s="86"/>
      <c r="AF120" s="86">
        <f>+VLOOKUP($G120,GenRetL!$D$10:$K$194,8,FALSE)</f>
        <v>1000</v>
      </c>
      <c r="AG120" s="70" t="s">
        <v>191</v>
      </c>
      <c r="AH120" s="86"/>
      <c r="AI120" s="86"/>
      <c r="AJ120" s="86">
        <f>+VLOOKUP($G120,GenRetS!$D$10:$K$195,8,FALSE)</f>
        <v>1000</v>
      </c>
      <c r="AK120" s="70" t="s">
        <v>191</v>
      </c>
      <c r="AL120" s="86"/>
      <c r="AM120" s="86"/>
      <c r="AN120" s="86">
        <f>+VLOOKUP($G120,Laundr!$D$10:$K$195,8,FALSE)</f>
        <v>1000</v>
      </c>
      <c r="AO120" s="87"/>
      <c r="AP120" s="87"/>
    </row>
    <row r="121" spans="1:42" s="85" customFormat="1" ht="12">
      <c r="A121" s="84"/>
      <c r="B121" s="84"/>
      <c r="C121" s="84"/>
      <c r="D121" s="84"/>
      <c r="E121" s="79">
        <v>2.2999999999999998</v>
      </c>
      <c r="F121" s="1140" t="s">
        <v>38</v>
      </c>
      <c r="G121" s="1141"/>
      <c r="H121" s="1142"/>
      <c r="I121" s="70"/>
      <c r="J121" s="86"/>
      <c r="K121" s="86"/>
      <c r="L121" s="86"/>
      <c r="M121" s="70"/>
      <c r="N121" s="86"/>
      <c r="O121" s="86"/>
      <c r="P121" s="86"/>
      <c r="Q121" s="70"/>
      <c r="R121" s="86"/>
      <c r="S121" s="86"/>
      <c r="T121" s="86"/>
      <c r="U121" s="70"/>
      <c r="V121" s="86"/>
      <c r="W121" s="86"/>
      <c r="X121" s="86"/>
      <c r="Y121" s="70"/>
      <c r="Z121" s="86"/>
      <c r="AA121" s="86"/>
      <c r="AB121" s="86"/>
      <c r="AC121" s="70"/>
      <c r="AD121" s="86"/>
      <c r="AE121" s="86"/>
      <c r="AF121" s="86"/>
      <c r="AG121" s="70"/>
      <c r="AH121" s="86"/>
      <c r="AI121" s="86"/>
      <c r="AJ121" s="86"/>
      <c r="AK121" s="70"/>
      <c r="AL121" s="86"/>
      <c r="AM121" s="86"/>
      <c r="AN121" s="86"/>
      <c r="AO121" s="87"/>
      <c r="AP121" s="87"/>
    </row>
    <row r="122" spans="1:42" s="71" customFormat="1" ht="12" outlineLevel="1">
      <c r="A122" s="82"/>
      <c r="B122" s="82"/>
      <c r="C122" s="82"/>
      <c r="D122" s="82"/>
      <c r="E122" s="1111" t="s">
        <v>5</v>
      </c>
      <c r="F122" s="1112"/>
      <c r="G122" s="1117" t="s">
        <v>40</v>
      </c>
      <c r="H122" s="1118"/>
      <c r="I122" s="68"/>
      <c r="J122" s="83"/>
      <c r="K122" s="83"/>
      <c r="L122" s="83"/>
      <c r="M122" s="68"/>
      <c r="N122" s="83"/>
      <c r="O122" s="83"/>
      <c r="P122" s="83"/>
      <c r="Q122" s="68"/>
      <c r="R122" s="83"/>
      <c r="S122" s="83"/>
      <c r="T122" s="83"/>
      <c r="U122" s="68"/>
      <c r="V122" s="83"/>
      <c r="W122" s="83"/>
      <c r="X122" s="83"/>
      <c r="Y122" s="68"/>
      <c r="Z122" s="83"/>
      <c r="AA122" s="83"/>
      <c r="AB122" s="83"/>
      <c r="AC122" s="68"/>
      <c r="AD122" s="83"/>
      <c r="AE122" s="83"/>
      <c r="AF122" s="83"/>
      <c r="AG122" s="68"/>
      <c r="AH122" s="83"/>
      <c r="AI122" s="83"/>
      <c r="AJ122" s="83"/>
      <c r="AK122" s="68"/>
      <c r="AL122" s="83"/>
      <c r="AM122" s="83"/>
      <c r="AN122" s="83"/>
      <c r="AO122" s="73"/>
      <c r="AP122" s="73"/>
    </row>
    <row r="123" spans="1:42" s="71" customFormat="1" ht="36" outlineLevel="1">
      <c r="A123" s="82"/>
      <c r="B123" s="82"/>
      <c r="C123" s="82"/>
      <c r="D123" s="82"/>
      <c r="E123" s="1113"/>
      <c r="F123" s="1114"/>
      <c r="G123" s="78" t="s">
        <v>441</v>
      </c>
      <c r="H123" s="72"/>
      <c r="I123" s="68" t="s">
        <v>149</v>
      </c>
      <c r="J123" s="83">
        <f>+VLOOKUP($G123,Supermarket!$D$130:$K$139,8,FALSE)</f>
        <v>1000</v>
      </c>
      <c r="K123" s="83"/>
      <c r="L123" s="83"/>
      <c r="M123" s="68" t="s">
        <v>149</v>
      </c>
      <c r="N123" s="83">
        <f>+VLOOKUP($G123,PharmacyL!$D$10:$K$194,8,FALSE)</f>
        <v>1000</v>
      </c>
      <c r="O123" s="83"/>
      <c r="P123" s="83"/>
      <c r="Q123" s="68" t="s">
        <v>149</v>
      </c>
      <c r="R123" s="83">
        <f>+VLOOKUP($G123,PharmacyS!$D$10:$K$195,8,FALSE)</f>
        <v>1000</v>
      </c>
      <c r="S123" s="83"/>
      <c r="T123" s="83"/>
      <c r="U123" s="68" t="s">
        <v>149</v>
      </c>
      <c r="V123" s="83">
        <f>+VLOOKUP($G123,HealthCare!$D$10:$K$195,8,FALSE)</f>
        <v>1000</v>
      </c>
      <c r="W123" s="83"/>
      <c r="X123" s="83"/>
      <c r="Y123" s="68" t="s">
        <v>149</v>
      </c>
      <c r="Z123" s="83">
        <f>+VLOOKUP($G123,Restaurant!$D$10:$K$194,8,FALSE)</f>
        <v>1000</v>
      </c>
      <c r="AA123" s="83"/>
      <c r="AB123" s="83"/>
      <c r="AC123" s="68" t="s">
        <v>149</v>
      </c>
      <c r="AD123" s="83">
        <f>+VLOOKUP($G123,GenRetL!$D$10:$K$194,8,FALSE)</f>
        <v>1000</v>
      </c>
      <c r="AE123" s="83"/>
      <c r="AF123" s="83"/>
      <c r="AG123" s="68" t="s">
        <v>149</v>
      </c>
      <c r="AH123" s="83">
        <f>+VLOOKUP($G123,GenRetS!$D$10:$K$195,8,FALSE)</f>
        <v>1000</v>
      </c>
      <c r="AI123" s="83"/>
      <c r="AJ123" s="83"/>
      <c r="AK123" s="68" t="s">
        <v>149</v>
      </c>
      <c r="AL123" s="83">
        <f>+VLOOKUP($G123,Laundr!$D$10:$K$195,8,FALSE)</f>
        <v>1000</v>
      </c>
      <c r="AM123" s="83"/>
      <c r="AN123" s="83"/>
      <c r="AO123" s="73"/>
      <c r="AP123" s="73"/>
    </row>
    <row r="124" spans="1:42" s="71" customFormat="1" ht="12" outlineLevel="1">
      <c r="A124" s="82"/>
      <c r="B124" s="82"/>
      <c r="C124" s="82"/>
      <c r="D124" s="82"/>
      <c r="E124" s="1113"/>
      <c r="F124" s="1114"/>
      <c r="G124" s="78" t="s">
        <v>442</v>
      </c>
      <c r="H124" s="72"/>
      <c r="I124" s="68" t="s">
        <v>88</v>
      </c>
      <c r="J124" s="83"/>
      <c r="K124" s="83">
        <f>+VLOOKUP($G124,Supermarket!$D$130:$K$139,8,FALSE)</f>
        <v>0</v>
      </c>
      <c r="L124" s="83"/>
      <c r="M124" s="68" t="s">
        <v>88</v>
      </c>
      <c r="N124" s="83"/>
      <c r="O124" s="83">
        <f>+VLOOKUP($G124,PharmacyL!$D$10:$K$194,8,FALSE)</f>
        <v>0</v>
      </c>
      <c r="P124" s="83"/>
      <c r="Q124" s="68" t="s">
        <v>88</v>
      </c>
      <c r="R124" s="83"/>
      <c r="S124" s="83">
        <f>+VLOOKUP($G124,PharmacyS!$D$10:$K$195,8,FALSE)</f>
        <v>0</v>
      </c>
      <c r="T124" s="83"/>
      <c r="U124" s="68" t="s">
        <v>88</v>
      </c>
      <c r="V124" s="83"/>
      <c r="W124" s="83">
        <f>+VLOOKUP($G124,HealthCare!$D$10:$K$195,8,FALSE)</f>
        <v>0</v>
      </c>
      <c r="X124" s="83"/>
      <c r="Y124" s="68" t="s">
        <v>88</v>
      </c>
      <c r="Z124" s="83"/>
      <c r="AA124" s="83">
        <f>+VLOOKUP($G124,Restaurant!$D$10:$K$194,8,FALSE)</f>
        <v>0</v>
      </c>
      <c r="AB124" s="83"/>
      <c r="AC124" s="68" t="s">
        <v>88</v>
      </c>
      <c r="AD124" s="83"/>
      <c r="AE124" s="83">
        <f>+VLOOKUP($G124,GenRetL!$D$10:$K$194,8,FALSE)</f>
        <v>0</v>
      </c>
      <c r="AF124" s="83"/>
      <c r="AG124" s="68" t="s">
        <v>88</v>
      </c>
      <c r="AH124" s="83"/>
      <c r="AI124" s="83">
        <f>+VLOOKUP($G124,GenRetS!$D$10:$K$195,8,FALSE)</f>
        <v>0</v>
      </c>
      <c r="AJ124" s="83"/>
      <c r="AK124" s="68" t="s">
        <v>88</v>
      </c>
      <c r="AL124" s="83"/>
      <c r="AM124" s="83">
        <f>+VLOOKUP($G124,Laundr!$D$10:$K$195,8,FALSE)</f>
        <v>0</v>
      </c>
      <c r="AN124" s="83"/>
      <c r="AO124" s="73"/>
      <c r="AP124" s="73"/>
    </row>
    <row r="125" spans="1:42" s="71" customFormat="1" ht="36" outlineLevel="1">
      <c r="A125" s="82"/>
      <c r="B125" s="82"/>
      <c r="C125" s="82"/>
      <c r="D125" s="82"/>
      <c r="E125" s="1115"/>
      <c r="F125" s="1116"/>
      <c r="G125" s="78" t="s">
        <v>443</v>
      </c>
      <c r="H125" s="72"/>
      <c r="I125" s="68" t="s">
        <v>236</v>
      </c>
      <c r="J125" s="83"/>
      <c r="K125" s="83"/>
      <c r="L125" s="83">
        <f>+VLOOKUP($G125,Supermarket!$D$130:$K$139,8,FALSE)</f>
        <v>120000</v>
      </c>
      <c r="M125" s="68" t="s">
        <v>236</v>
      </c>
      <c r="N125" s="83"/>
      <c r="O125" s="83"/>
      <c r="P125" s="83">
        <f>+VLOOKUP($G125,PharmacyL!$D$10:$K$194,8,FALSE)</f>
        <v>120000</v>
      </c>
      <c r="Q125" s="68" t="s">
        <v>236</v>
      </c>
      <c r="R125" s="83"/>
      <c r="S125" s="83"/>
      <c r="T125" s="83">
        <f>+VLOOKUP($G125,PharmacyS!$D$10:$K$195,8,FALSE)</f>
        <v>60000</v>
      </c>
      <c r="U125" s="68" t="s">
        <v>236</v>
      </c>
      <c r="V125" s="83"/>
      <c r="W125" s="83"/>
      <c r="X125" s="83">
        <f>+VLOOKUP($G125,HealthCare!$D$10:$K$195,8,FALSE)</f>
        <v>41240</v>
      </c>
      <c r="Y125" s="68" t="s">
        <v>236</v>
      </c>
      <c r="Z125" s="83"/>
      <c r="AA125" s="83"/>
      <c r="AB125" s="83">
        <f>+VLOOKUP($G125,Restaurant!$D$10:$K$194,8,FALSE)</f>
        <v>40000</v>
      </c>
      <c r="AC125" s="68" t="s">
        <v>236</v>
      </c>
      <c r="AD125" s="83"/>
      <c r="AE125" s="83"/>
      <c r="AF125" s="83">
        <f>+VLOOKUP($G125,GenRetL!$D$10:$K$194,8,FALSE)</f>
        <v>40000</v>
      </c>
      <c r="AG125" s="68" t="s">
        <v>236</v>
      </c>
      <c r="AH125" s="83"/>
      <c r="AI125" s="83"/>
      <c r="AJ125" s="83">
        <f>+VLOOKUP($G125,GenRetS!$D$10:$K$195,8,FALSE)</f>
        <v>20000</v>
      </c>
      <c r="AK125" s="68" t="s">
        <v>236</v>
      </c>
      <c r="AL125" s="83"/>
      <c r="AM125" s="83"/>
      <c r="AN125" s="83">
        <f>+VLOOKUP($G125,Laundr!$D$10:$K$195,8,FALSE)</f>
        <v>20000</v>
      </c>
      <c r="AO125" s="73"/>
      <c r="AP125" s="73"/>
    </row>
    <row r="126" spans="1:42" s="71" customFormat="1" ht="12" outlineLevel="1">
      <c r="A126" s="82"/>
      <c r="B126" s="82"/>
      <c r="C126" s="82"/>
      <c r="D126" s="82"/>
      <c r="E126" s="1111" t="s">
        <v>6</v>
      </c>
      <c r="F126" s="1112"/>
      <c r="G126" s="1117" t="s">
        <v>41</v>
      </c>
      <c r="H126" s="1118"/>
      <c r="I126" s="68"/>
      <c r="J126" s="83"/>
      <c r="K126" s="83"/>
      <c r="L126" s="83"/>
      <c r="M126" s="68"/>
      <c r="N126" s="83"/>
      <c r="O126" s="83"/>
      <c r="P126" s="83"/>
      <c r="Q126" s="68"/>
      <c r="R126" s="83"/>
      <c r="S126" s="83"/>
      <c r="T126" s="83"/>
      <c r="U126" s="68"/>
      <c r="V126" s="83"/>
      <c r="W126" s="83"/>
      <c r="X126" s="83"/>
      <c r="Y126" s="68"/>
      <c r="Z126" s="83"/>
      <c r="AA126" s="83"/>
      <c r="AB126" s="83"/>
      <c r="AC126" s="68"/>
      <c r="AD126" s="83"/>
      <c r="AE126" s="83"/>
      <c r="AF126" s="83"/>
      <c r="AG126" s="68"/>
      <c r="AH126" s="83"/>
      <c r="AI126" s="83"/>
      <c r="AJ126" s="83"/>
      <c r="AK126" s="68"/>
      <c r="AL126" s="83"/>
      <c r="AM126" s="83"/>
      <c r="AN126" s="83"/>
      <c r="AO126" s="73"/>
      <c r="AP126" s="73"/>
    </row>
    <row r="127" spans="1:42" s="71" customFormat="1" ht="36" outlineLevel="1">
      <c r="A127" s="82"/>
      <c r="B127" s="82"/>
      <c r="C127" s="82"/>
      <c r="D127" s="82"/>
      <c r="E127" s="1113"/>
      <c r="F127" s="1114"/>
      <c r="G127" s="78" t="s">
        <v>444</v>
      </c>
      <c r="H127" s="72"/>
      <c r="I127" s="68" t="s">
        <v>150</v>
      </c>
      <c r="J127" s="83">
        <f>+VLOOKUP($G127,Supermarket!$D$130:$K$139,8,FALSE)</f>
        <v>1000</v>
      </c>
      <c r="K127" s="83"/>
      <c r="L127" s="83"/>
      <c r="M127" s="68" t="s">
        <v>150</v>
      </c>
      <c r="N127" s="83">
        <f>+VLOOKUP($G127,PharmacyL!$D$10:$K$194,8,FALSE)</f>
        <v>1000</v>
      </c>
      <c r="O127" s="83"/>
      <c r="P127" s="83"/>
      <c r="Q127" s="68" t="s">
        <v>150</v>
      </c>
      <c r="R127" s="83">
        <f>+VLOOKUP($G127,PharmacyS!$D$10:$K$195,8,FALSE)</f>
        <v>1000</v>
      </c>
      <c r="S127" s="83"/>
      <c r="T127" s="83"/>
      <c r="U127" s="68" t="s">
        <v>150</v>
      </c>
      <c r="V127" s="83">
        <f>+VLOOKUP($G127,HealthCare!$D$10:$K$195,8,FALSE)</f>
        <v>491</v>
      </c>
      <c r="W127" s="83"/>
      <c r="X127" s="83"/>
      <c r="Y127" s="68" t="s">
        <v>150</v>
      </c>
      <c r="Z127" s="83">
        <f>+VLOOKUP($G127,Restaurant!$D$10:$K$194,8,FALSE)</f>
        <v>1000</v>
      </c>
      <c r="AA127" s="83"/>
      <c r="AB127" s="83"/>
      <c r="AC127" s="68" t="s">
        <v>150</v>
      </c>
      <c r="AD127" s="83">
        <f>+VLOOKUP($G127,GenRetL!$D$10:$K$194,8,FALSE)</f>
        <v>1000</v>
      </c>
      <c r="AE127" s="83"/>
      <c r="AF127" s="83"/>
      <c r="AG127" s="68" t="s">
        <v>150</v>
      </c>
      <c r="AH127" s="83">
        <f>+VLOOKUP($G127,GenRetS!$D$10:$K$195,8,FALSE)</f>
        <v>1000</v>
      </c>
      <c r="AI127" s="83"/>
      <c r="AJ127" s="83"/>
      <c r="AK127" s="68" t="s">
        <v>150</v>
      </c>
      <c r="AL127" s="83">
        <f>+VLOOKUP($G127,Laundr!$D$10:$K$195,8,FALSE)</f>
        <v>1000</v>
      </c>
      <c r="AM127" s="83"/>
      <c r="AN127" s="83"/>
      <c r="AO127" s="73"/>
      <c r="AP127" s="73"/>
    </row>
    <row r="128" spans="1:42" s="71" customFormat="1" ht="12" outlineLevel="1">
      <c r="A128" s="82"/>
      <c r="B128" s="82"/>
      <c r="C128" s="82"/>
      <c r="D128" s="82"/>
      <c r="E128" s="1113"/>
      <c r="F128" s="1114"/>
      <c r="G128" s="78" t="s">
        <v>445</v>
      </c>
      <c r="H128" s="72"/>
      <c r="I128" s="68" t="s">
        <v>88</v>
      </c>
      <c r="J128" s="83"/>
      <c r="K128" s="83">
        <f>+VLOOKUP($G128,Supermarket!$D$130:$K$139,8,FALSE)</f>
        <v>0</v>
      </c>
      <c r="L128" s="83"/>
      <c r="M128" s="68" t="s">
        <v>88</v>
      </c>
      <c r="N128" s="83"/>
      <c r="O128" s="83">
        <f>+VLOOKUP($G128,PharmacyL!$D$10:$K$194,8,FALSE)</f>
        <v>0</v>
      </c>
      <c r="P128" s="83"/>
      <c r="Q128" s="68" t="s">
        <v>88</v>
      </c>
      <c r="R128" s="83"/>
      <c r="S128" s="83">
        <f>+VLOOKUP($G128,PharmacyS!$D$10:$K$195,8,FALSE)</f>
        <v>0</v>
      </c>
      <c r="T128" s="83"/>
      <c r="U128" s="68" t="s">
        <v>88</v>
      </c>
      <c r="V128" s="83"/>
      <c r="W128" s="83">
        <f>+VLOOKUP($G128,HealthCare!$D$10:$K$195,8,FALSE)</f>
        <v>0</v>
      </c>
      <c r="X128" s="83"/>
      <c r="Y128" s="68" t="s">
        <v>88</v>
      </c>
      <c r="Z128" s="83"/>
      <c r="AA128" s="83">
        <f>+VLOOKUP($G128,Restaurant!$D$10:$K$194,8,FALSE)</f>
        <v>0</v>
      </c>
      <c r="AB128" s="83"/>
      <c r="AC128" s="68" t="s">
        <v>88</v>
      </c>
      <c r="AD128" s="83"/>
      <c r="AE128" s="83">
        <f>+VLOOKUP($G128,GenRetL!$D$10:$K$194,8,FALSE)</f>
        <v>0</v>
      </c>
      <c r="AF128" s="83"/>
      <c r="AG128" s="68" t="s">
        <v>88</v>
      </c>
      <c r="AH128" s="83"/>
      <c r="AI128" s="83">
        <f>+VLOOKUP($G128,GenRetS!$D$10:$K$195,8,FALSE)</f>
        <v>0</v>
      </c>
      <c r="AJ128" s="83"/>
      <c r="AK128" s="68" t="s">
        <v>88</v>
      </c>
      <c r="AL128" s="83"/>
      <c r="AM128" s="83">
        <f>+VLOOKUP($G128,Laundr!$D$10:$K$195,8,FALSE)</f>
        <v>0</v>
      </c>
      <c r="AN128" s="83"/>
      <c r="AO128" s="73"/>
      <c r="AP128" s="73"/>
    </row>
    <row r="129" spans="1:42" s="71" customFormat="1" ht="36" outlineLevel="1">
      <c r="A129" s="82"/>
      <c r="B129" s="82"/>
      <c r="C129" s="82"/>
      <c r="D129" s="82"/>
      <c r="E129" s="1115"/>
      <c r="F129" s="1116"/>
      <c r="G129" s="78" t="s">
        <v>446</v>
      </c>
      <c r="H129" s="72"/>
      <c r="I129" s="68" t="s">
        <v>222</v>
      </c>
      <c r="J129" s="83"/>
      <c r="K129" s="83"/>
      <c r="L129" s="83">
        <f>+VLOOKUP($G129,Supermarket!$D$130:$K$139,8,FALSE)</f>
        <v>120000</v>
      </c>
      <c r="M129" s="68" t="s">
        <v>222</v>
      </c>
      <c r="N129" s="83"/>
      <c r="O129" s="83"/>
      <c r="P129" s="83">
        <f>+VLOOKUP($G129,PharmacyL!$D$10:$K$194,8,FALSE)</f>
        <v>120000</v>
      </c>
      <c r="Q129" s="68" t="s">
        <v>222</v>
      </c>
      <c r="R129" s="83"/>
      <c r="S129" s="83"/>
      <c r="T129" s="83">
        <f>+VLOOKUP($G129,PharmacyS!$D$10:$K$195,8,FALSE)</f>
        <v>60000</v>
      </c>
      <c r="U129" s="68" t="s">
        <v>222</v>
      </c>
      <c r="V129" s="83"/>
      <c r="W129" s="83"/>
      <c r="X129" s="83">
        <f>+VLOOKUP($G129,HealthCare!$D$10:$K$195,8,FALSE)</f>
        <v>40000</v>
      </c>
      <c r="Y129" s="68" t="s">
        <v>222</v>
      </c>
      <c r="Z129" s="83"/>
      <c r="AA129" s="83"/>
      <c r="AB129" s="83">
        <f>+VLOOKUP($G129,Restaurant!$D$10:$K$194,8,FALSE)</f>
        <v>40000</v>
      </c>
      <c r="AC129" s="68" t="s">
        <v>222</v>
      </c>
      <c r="AD129" s="83"/>
      <c r="AE129" s="83"/>
      <c r="AF129" s="83">
        <f>+VLOOKUP($G129,GenRetL!$D$10:$K$194,8,FALSE)</f>
        <v>40000</v>
      </c>
      <c r="AG129" s="68" t="s">
        <v>222</v>
      </c>
      <c r="AH129" s="83"/>
      <c r="AI129" s="83"/>
      <c r="AJ129" s="83">
        <f>+VLOOKUP($G129,GenRetS!$D$10:$K$195,8,FALSE)</f>
        <v>20000</v>
      </c>
      <c r="AK129" s="68" t="s">
        <v>222</v>
      </c>
      <c r="AL129" s="83"/>
      <c r="AM129" s="83"/>
      <c r="AN129" s="83">
        <f>+VLOOKUP($G129,Laundr!$D$10:$K$195,8,FALSE)</f>
        <v>20000</v>
      </c>
      <c r="AO129" s="73"/>
      <c r="AP129" s="73"/>
    </row>
    <row r="130" spans="1:42" s="85" customFormat="1" ht="12">
      <c r="A130" s="84"/>
      <c r="B130" s="84"/>
      <c r="C130" s="84"/>
      <c r="D130" s="84"/>
      <c r="E130" s="313">
        <v>3</v>
      </c>
      <c r="F130" s="314" t="s">
        <v>53</v>
      </c>
      <c r="G130" s="315"/>
      <c r="H130" s="316"/>
      <c r="I130" s="317"/>
      <c r="J130" s="318"/>
      <c r="K130" s="318"/>
      <c r="L130" s="318"/>
      <c r="M130" s="317"/>
      <c r="N130" s="318"/>
      <c r="O130" s="318"/>
      <c r="P130" s="318"/>
      <c r="Q130" s="317"/>
      <c r="R130" s="318"/>
      <c r="S130" s="318"/>
      <c r="T130" s="318"/>
      <c r="U130" s="317"/>
      <c r="V130" s="318"/>
      <c r="W130" s="318"/>
      <c r="X130" s="318"/>
      <c r="Y130" s="317"/>
      <c r="Z130" s="318"/>
      <c r="AA130" s="318"/>
      <c r="AB130" s="318"/>
      <c r="AC130" s="317"/>
      <c r="AD130" s="318"/>
      <c r="AE130" s="318"/>
      <c r="AF130" s="318"/>
      <c r="AG130" s="317"/>
      <c r="AH130" s="318"/>
      <c r="AI130" s="318"/>
      <c r="AJ130" s="318"/>
      <c r="AK130" s="317"/>
      <c r="AL130" s="318"/>
      <c r="AM130" s="318"/>
      <c r="AN130" s="318"/>
      <c r="AO130" s="319"/>
      <c r="AP130" s="319"/>
    </row>
    <row r="131" spans="1:42" s="85" customFormat="1" ht="12">
      <c r="A131" s="84"/>
      <c r="B131" s="84"/>
      <c r="C131" s="84"/>
      <c r="D131" s="84"/>
      <c r="E131" s="313">
        <v>3.1</v>
      </c>
      <c r="F131" s="1119" t="s">
        <v>42</v>
      </c>
      <c r="G131" s="1120"/>
      <c r="H131" s="1121"/>
      <c r="I131" s="317"/>
      <c r="J131" s="318"/>
      <c r="K131" s="318"/>
      <c r="L131" s="318"/>
      <c r="M131" s="317"/>
      <c r="N131" s="318"/>
      <c r="O131" s="318"/>
      <c r="P131" s="318"/>
      <c r="Q131" s="317"/>
      <c r="R131" s="318"/>
      <c r="S131" s="318"/>
      <c r="T131" s="318"/>
      <c r="U131" s="317"/>
      <c r="V131" s="318"/>
      <c r="W131" s="318"/>
      <c r="X131" s="318"/>
      <c r="Y131" s="317"/>
      <c r="Z131" s="318"/>
      <c r="AA131" s="318"/>
      <c r="AB131" s="318"/>
      <c r="AC131" s="317"/>
      <c r="AD131" s="318"/>
      <c r="AE131" s="318"/>
      <c r="AF131" s="318"/>
      <c r="AG131" s="317"/>
      <c r="AH131" s="318"/>
      <c r="AI131" s="318"/>
      <c r="AJ131" s="318"/>
      <c r="AK131" s="317"/>
      <c r="AL131" s="318"/>
      <c r="AM131" s="318"/>
      <c r="AN131" s="318"/>
      <c r="AO131" s="319"/>
      <c r="AP131" s="319"/>
    </row>
    <row r="132" spans="1:42" s="71" customFormat="1" ht="72" outlineLevel="1">
      <c r="A132" s="82"/>
      <c r="B132" s="82"/>
      <c r="C132" s="82"/>
      <c r="D132" s="82"/>
      <c r="E132" s="1122" t="s">
        <v>5</v>
      </c>
      <c r="F132" s="1123"/>
      <c r="G132" s="1128" t="s">
        <v>49</v>
      </c>
      <c r="H132" s="1129"/>
      <c r="I132" s="320" t="s">
        <v>74</v>
      </c>
      <c r="J132" s="320"/>
      <c r="K132" s="320"/>
      <c r="L132" s="320"/>
      <c r="M132" s="320" t="s">
        <v>74</v>
      </c>
      <c r="N132" s="320"/>
      <c r="O132" s="320"/>
      <c r="P132" s="320"/>
      <c r="Q132" s="320" t="s">
        <v>74</v>
      </c>
      <c r="R132" s="320"/>
      <c r="S132" s="320"/>
      <c r="T132" s="320"/>
      <c r="U132" s="320" t="s">
        <v>74</v>
      </c>
      <c r="V132" s="320"/>
      <c r="W132" s="320"/>
      <c r="X132" s="320"/>
      <c r="Y132" s="320" t="s">
        <v>74</v>
      </c>
      <c r="Z132" s="320"/>
      <c r="AA132" s="320"/>
      <c r="AB132" s="320"/>
      <c r="AC132" s="320" t="s">
        <v>74</v>
      </c>
      <c r="AD132" s="320"/>
      <c r="AE132" s="320"/>
      <c r="AF132" s="320"/>
      <c r="AG132" s="320"/>
      <c r="AH132" s="320"/>
      <c r="AI132" s="320"/>
      <c r="AJ132" s="320"/>
      <c r="AK132" s="320"/>
      <c r="AL132" s="321"/>
      <c r="AM132" s="321"/>
      <c r="AN132" s="321"/>
      <c r="AO132" s="319"/>
      <c r="AP132" s="319"/>
    </row>
    <row r="133" spans="1:42" s="71" customFormat="1" ht="12" outlineLevel="1">
      <c r="A133" s="82"/>
      <c r="B133" s="82"/>
      <c r="C133" s="82"/>
      <c r="D133" s="82"/>
      <c r="E133" s="1124"/>
      <c r="F133" s="1125"/>
      <c r="G133" s="322" t="s">
        <v>448</v>
      </c>
      <c r="H133" s="320"/>
      <c r="I133" s="317" t="s">
        <v>194</v>
      </c>
      <c r="J133" s="318">
        <f>+VLOOKUP($G133,Supermarket!$D$142:$K$145,8,FALSE)</f>
        <v>23500</v>
      </c>
      <c r="K133" s="318"/>
      <c r="L133" s="318"/>
      <c r="M133" s="317" t="s">
        <v>194</v>
      </c>
      <c r="N133" s="318">
        <f>+VLOOKUP($G133,PharmacyL!$D$10:$K$194,8,FALSE)</f>
        <v>23500</v>
      </c>
      <c r="O133" s="318"/>
      <c r="P133" s="318"/>
      <c r="Q133" s="317" t="s">
        <v>194</v>
      </c>
      <c r="R133" s="318">
        <f>+VLOOKUP($G133,PharmacyS!$D$10:$K$195,8,FALSE)</f>
        <v>23500</v>
      </c>
      <c r="S133" s="318"/>
      <c r="T133" s="318"/>
      <c r="U133" s="317" t="s">
        <v>194</v>
      </c>
      <c r="V133" s="318">
        <f>+VLOOKUP($G133,HealthCare!$D$10:$K$195,8,FALSE)</f>
        <v>23500</v>
      </c>
      <c r="W133" s="318"/>
      <c r="X133" s="318"/>
      <c r="Y133" s="317" t="s">
        <v>194</v>
      </c>
      <c r="Z133" s="318">
        <f>+VLOOKUP($G133,Restaurant!$D$10:$K$194,8,FALSE)</f>
        <v>23500</v>
      </c>
      <c r="AA133" s="318"/>
      <c r="AB133" s="318"/>
      <c r="AC133" s="317" t="s">
        <v>194</v>
      </c>
      <c r="AD133" s="318">
        <f>+VLOOKUP($G133,GenRetL!$D$10:$K$194,8,FALSE)</f>
        <v>23500</v>
      </c>
      <c r="AE133" s="318"/>
      <c r="AF133" s="318"/>
      <c r="AG133" s="317" t="s">
        <v>194</v>
      </c>
      <c r="AH133" s="318">
        <f>+VLOOKUP($G133,GenRetS!$D$10:$K$195,8,FALSE)</f>
        <v>9500</v>
      </c>
      <c r="AI133" s="318"/>
      <c r="AJ133" s="318"/>
      <c r="AK133" s="317" t="s">
        <v>194</v>
      </c>
      <c r="AL133" s="318">
        <f>+VLOOKUP($G133,Laundr!$D$10:$K$195,8,FALSE)</f>
        <v>23500</v>
      </c>
      <c r="AM133" s="318"/>
      <c r="AN133" s="318"/>
      <c r="AO133" s="319"/>
      <c r="AP133" s="319"/>
    </row>
    <row r="134" spans="1:42" s="71" customFormat="1" ht="12" outlineLevel="1">
      <c r="A134" s="82"/>
      <c r="B134" s="82"/>
      <c r="C134" s="82"/>
      <c r="D134" s="82"/>
      <c r="E134" s="1124"/>
      <c r="F134" s="1125"/>
      <c r="G134" s="322" t="s">
        <v>449</v>
      </c>
      <c r="H134" s="320"/>
      <c r="I134" s="317" t="s">
        <v>88</v>
      </c>
      <c r="J134" s="318"/>
      <c r="K134" s="318">
        <f>+VLOOKUP($G134,Supermarket!$D$142:$K$145,8,FALSE)</f>
        <v>0</v>
      </c>
      <c r="L134" s="318"/>
      <c r="M134" s="317" t="s">
        <v>88</v>
      </c>
      <c r="N134" s="318"/>
      <c r="O134" s="318">
        <f>+VLOOKUP($G134,PharmacyL!$D$10:$K$194,8,FALSE)</f>
        <v>0</v>
      </c>
      <c r="P134" s="318"/>
      <c r="Q134" s="317" t="s">
        <v>88</v>
      </c>
      <c r="R134" s="318"/>
      <c r="S134" s="318">
        <f>+VLOOKUP($G134,PharmacyS!$D$10:$K$195,8,FALSE)</f>
        <v>0</v>
      </c>
      <c r="T134" s="318"/>
      <c r="U134" s="317" t="s">
        <v>88</v>
      </c>
      <c r="V134" s="318"/>
      <c r="W134" s="318">
        <f>+VLOOKUP($G134,HealthCare!$D$10:$K$195,8,FALSE)</f>
        <v>0</v>
      </c>
      <c r="X134" s="318"/>
      <c r="Y134" s="317" t="s">
        <v>88</v>
      </c>
      <c r="Z134" s="318"/>
      <c r="AA134" s="318">
        <f>+VLOOKUP($G134,Restaurant!$D$10:$K$194,8,FALSE)</f>
        <v>0</v>
      </c>
      <c r="AB134" s="318"/>
      <c r="AC134" s="317" t="s">
        <v>88</v>
      </c>
      <c r="AD134" s="318"/>
      <c r="AE134" s="318">
        <f>+VLOOKUP($G134,GenRetL!$D$10:$K$194,8,FALSE)</f>
        <v>0</v>
      </c>
      <c r="AF134" s="318"/>
      <c r="AG134" s="317" t="s">
        <v>88</v>
      </c>
      <c r="AH134" s="318"/>
      <c r="AI134" s="318">
        <f>+VLOOKUP($G134,GenRetS!$D$10:$K$195,8,FALSE)</f>
        <v>0</v>
      </c>
      <c r="AJ134" s="318"/>
      <c r="AK134" s="317" t="s">
        <v>88</v>
      </c>
      <c r="AL134" s="318"/>
      <c r="AM134" s="318">
        <f>+VLOOKUP($G134,Laundr!$D$10:$K$195,8,FALSE)</f>
        <v>0</v>
      </c>
      <c r="AN134" s="318"/>
      <c r="AO134" s="319"/>
      <c r="AP134" s="319"/>
    </row>
    <row r="135" spans="1:42" s="71" customFormat="1" ht="12" outlineLevel="1">
      <c r="A135" s="82"/>
      <c r="B135" s="82"/>
      <c r="C135" s="82"/>
      <c r="D135" s="82"/>
      <c r="E135" s="1126"/>
      <c r="F135" s="1127"/>
      <c r="G135" s="322" t="s">
        <v>450</v>
      </c>
      <c r="H135" s="320"/>
      <c r="I135" s="317" t="s">
        <v>195</v>
      </c>
      <c r="J135" s="318"/>
      <c r="K135" s="318"/>
      <c r="L135" s="318">
        <f>+VLOOKUP($G135,Supermarket!$D$142:$K$145,8,FALSE)</f>
        <v>36000</v>
      </c>
      <c r="M135" s="317" t="s">
        <v>195</v>
      </c>
      <c r="N135" s="318"/>
      <c r="O135" s="318"/>
      <c r="P135" s="318">
        <f>+VLOOKUP($G135,PharmacyL!$D$10:$K$194,8,FALSE)</f>
        <v>36000</v>
      </c>
      <c r="Q135" s="317" t="s">
        <v>195</v>
      </c>
      <c r="R135" s="318"/>
      <c r="S135" s="318"/>
      <c r="T135" s="318">
        <f>+VLOOKUP($G135,PharmacyS!$D$10:$K$195,8,FALSE)</f>
        <v>36000</v>
      </c>
      <c r="U135" s="317" t="s">
        <v>195</v>
      </c>
      <c r="V135" s="318"/>
      <c r="W135" s="318"/>
      <c r="X135" s="318">
        <f>+VLOOKUP($G135,HealthCare!$D$10:$K$195,8,FALSE)</f>
        <v>36000</v>
      </c>
      <c r="Y135" s="317" t="s">
        <v>195</v>
      </c>
      <c r="Z135" s="318"/>
      <c r="AA135" s="318"/>
      <c r="AB135" s="318">
        <f>+VLOOKUP($G135,Restaurant!$D$10:$K$194,8,FALSE)</f>
        <v>36000</v>
      </c>
      <c r="AC135" s="317" t="s">
        <v>195</v>
      </c>
      <c r="AD135" s="318"/>
      <c r="AE135" s="318"/>
      <c r="AF135" s="318">
        <f>+VLOOKUP($G135,GenRetL!$D$10:$K$194,8,FALSE)</f>
        <v>36000</v>
      </c>
      <c r="AG135" s="317" t="s">
        <v>195</v>
      </c>
      <c r="AH135" s="318"/>
      <c r="AI135" s="318"/>
      <c r="AJ135" s="318">
        <f>+VLOOKUP($G135,GenRetS!$D$10:$K$195,8,FALSE)</f>
        <v>12000</v>
      </c>
      <c r="AK135" s="317" t="s">
        <v>195</v>
      </c>
      <c r="AL135" s="318"/>
      <c r="AM135" s="318"/>
      <c r="AN135" s="318">
        <f>+VLOOKUP($G135,Laundr!$D$10:$K$195,8,FALSE)</f>
        <v>36000</v>
      </c>
      <c r="AO135" s="319"/>
      <c r="AP135" s="319"/>
    </row>
    <row r="136" spans="1:42" s="85" customFormat="1" ht="12">
      <c r="A136" s="84"/>
      <c r="B136" s="84"/>
      <c r="C136" s="84"/>
      <c r="D136" s="84"/>
      <c r="E136" s="313">
        <v>3.2</v>
      </c>
      <c r="F136" s="1119" t="s">
        <v>43</v>
      </c>
      <c r="G136" s="1120"/>
      <c r="H136" s="1121"/>
      <c r="I136" s="317"/>
      <c r="J136" s="318"/>
      <c r="K136" s="318"/>
      <c r="L136" s="318"/>
      <c r="M136" s="317"/>
      <c r="N136" s="318"/>
      <c r="O136" s="318"/>
      <c r="P136" s="318"/>
      <c r="Q136" s="317"/>
      <c r="R136" s="318"/>
      <c r="S136" s="318"/>
      <c r="T136" s="318"/>
      <c r="U136" s="317"/>
      <c r="V136" s="318"/>
      <c r="W136" s="318"/>
      <c r="X136" s="318"/>
      <c r="Y136" s="317"/>
      <c r="Z136" s="318"/>
      <c r="AA136" s="318"/>
      <c r="AB136" s="318"/>
      <c r="AC136" s="317"/>
      <c r="AD136" s="318"/>
      <c r="AE136" s="318"/>
      <c r="AF136" s="318"/>
      <c r="AG136" s="317"/>
      <c r="AH136" s="318"/>
      <c r="AI136" s="318"/>
      <c r="AJ136" s="318"/>
      <c r="AK136" s="317"/>
      <c r="AL136" s="318"/>
      <c r="AM136" s="318"/>
      <c r="AN136" s="318"/>
      <c r="AO136" s="319"/>
      <c r="AP136" s="319"/>
    </row>
    <row r="137" spans="1:42" s="71" customFormat="1" ht="12" outlineLevel="1">
      <c r="A137" s="82"/>
      <c r="B137" s="82"/>
      <c r="C137" s="82"/>
      <c r="D137" s="82"/>
      <c r="E137" s="1122" t="s">
        <v>5</v>
      </c>
      <c r="F137" s="1123"/>
      <c r="G137" s="1128" t="s">
        <v>75</v>
      </c>
      <c r="H137" s="1129"/>
      <c r="I137" s="317"/>
      <c r="J137" s="318"/>
      <c r="K137" s="318"/>
      <c r="L137" s="318"/>
      <c r="M137" s="317"/>
      <c r="N137" s="318"/>
      <c r="O137" s="318"/>
      <c r="P137" s="318"/>
      <c r="Q137" s="317"/>
      <c r="R137" s="318"/>
      <c r="S137" s="318"/>
      <c r="T137" s="318"/>
      <c r="U137" s="317"/>
      <c r="V137" s="318"/>
      <c r="W137" s="318"/>
      <c r="X137" s="318"/>
      <c r="Y137" s="317"/>
      <c r="Z137" s="318"/>
      <c r="AA137" s="318"/>
      <c r="AB137" s="318"/>
      <c r="AC137" s="317"/>
      <c r="AD137" s="318"/>
      <c r="AE137" s="318"/>
      <c r="AF137" s="318"/>
      <c r="AG137" s="317"/>
      <c r="AH137" s="318"/>
      <c r="AI137" s="318"/>
      <c r="AJ137" s="318"/>
      <c r="AK137" s="317"/>
      <c r="AL137" s="318"/>
      <c r="AM137" s="318"/>
      <c r="AN137" s="318"/>
      <c r="AO137" s="319"/>
      <c r="AP137" s="319"/>
    </row>
    <row r="138" spans="1:42" s="71" customFormat="1" ht="24" outlineLevel="1">
      <c r="A138" s="82"/>
      <c r="B138" s="82"/>
      <c r="C138" s="82"/>
      <c r="D138" s="82"/>
      <c r="E138" s="1124"/>
      <c r="F138" s="1125"/>
      <c r="G138" s="322" t="s">
        <v>451</v>
      </c>
      <c r="H138" s="320"/>
      <c r="I138" s="317" t="s">
        <v>197</v>
      </c>
      <c r="J138" s="318">
        <f>+VLOOKUP($G138,Supermarket!$D$147:$K$158,8,FALSE)</f>
        <v>21700</v>
      </c>
      <c r="K138" s="318"/>
      <c r="L138" s="318"/>
      <c r="M138" s="317"/>
      <c r="N138" s="318">
        <f>+VLOOKUP($G138,PharmacyL!$D$10:$K$194,8,FALSE)</f>
        <v>21700</v>
      </c>
      <c r="O138" s="318"/>
      <c r="P138" s="318"/>
      <c r="Q138" s="317"/>
      <c r="R138" s="318">
        <f>+VLOOKUP($G138,PharmacyS!$D$10:$K$195,8,FALSE)</f>
        <v>21700</v>
      </c>
      <c r="S138" s="318"/>
      <c r="T138" s="318"/>
      <c r="U138" s="317"/>
      <c r="V138" s="318">
        <f>+VLOOKUP($G138,HealthCare!$D$10:$K$195,8,FALSE)</f>
        <v>21700</v>
      </c>
      <c r="W138" s="318"/>
      <c r="X138" s="318"/>
      <c r="Y138" s="317" t="s">
        <v>197</v>
      </c>
      <c r="Z138" s="318">
        <f>+VLOOKUP($G138,Restaurant!$D$10:$K$194,8,FALSE)</f>
        <v>21700</v>
      </c>
      <c r="AA138" s="318"/>
      <c r="AB138" s="318"/>
      <c r="AC138" s="317"/>
      <c r="AD138" s="318">
        <f>+VLOOKUP($G138,GenRetL!$D$10:$K$194,8,FALSE)</f>
        <v>0</v>
      </c>
      <c r="AE138" s="318"/>
      <c r="AF138" s="318"/>
      <c r="AG138" s="317"/>
      <c r="AH138" s="318">
        <f>+VLOOKUP($G138,GenRetS!$D$10:$K$195,8,FALSE)</f>
        <v>0</v>
      </c>
      <c r="AI138" s="318"/>
      <c r="AJ138" s="318"/>
      <c r="AK138" s="317" t="s">
        <v>197</v>
      </c>
      <c r="AL138" s="318">
        <f>+VLOOKUP($G138,Laundr!$D$10:$K$195,8,FALSE)</f>
        <v>21700</v>
      </c>
      <c r="AM138" s="318"/>
      <c r="AN138" s="318"/>
      <c r="AO138" s="319"/>
      <c r="AP138" s="319"/>
    </row>
    <row r="139" spans="1:42" s="71" customFormat="1" ht="12" outlineLevel="1">
      <c r="A139" s="82"/>
      <c r="B139" s="82"/>
      <c r="C139" s="82"/>
      <c r="D139" s="82"/>
      <c r="E139" s="1124"/>
      <c r="F139" s="1125"/>
      <c r="G139" s="322" t="s">
        <v>452</v>
      </c>
      <c r="H139" s="320"/>
      <c r="I139" s="317" t="s">
        <v>88</v>
      </c>
      <c r="J139" s="318"/>
      <c r="K139" s="318">
        <f>+VLOOKUP($G139,Supermarket!$D$147:$K$158,8,FALSE)</f>
        <v>0</v>
      </c>
      <c r="L139" s="318"/>
      <c r="M139" s="317"/>
      <c r="N139" s="318"/>
      <c r="O139" s="318">
        <f>+VLOOKUP($G139,PharmacyL!$D$10:$K$194,8,FALSE)</f>
        <v>0</v>
      </c>
      <c r="P139" s="318"/>
      <c r="Q139" s="317"/>
      <c r="R139" s="318"/>
      <c r="S139" s="318">
        <f>+VLOOKUP($G139,PharmacyS!$D$10:$K$195,8,FALSE)</f>
        <v>0</v>
      </c>
      <c r="T139" s="318"/>
      <c r="U139" s="317"/>
      <c r="V139" s="318"/>
      <c r="W139" s="318">
        <f>+VLOOKUP($G139,HealthCare!$D$10:$K$195,8,FALSE)</f>
        <v>0</v>
      </c>
      <c r="X139" s="318"/>
      <c r="Y139" s="317" t="s">
        <v>88</v>
      </c>
      <c r="Z139" s="318"/>
      <c r="AA139" s="318">
        <f>+VLOOKUP($G139,Restaurant!$D$10:$K$194,8,FALSE)</f>
        <v>0</v>
      </c>
      <c r="AB139" s="318"/>
      <c r="AC139" s="317"/>
      <c r="AD139" s="318"/>
      <c r="AE139" s="318">
        <f>+VLOOKUP($G139,GenRetL!$D$10:$K$194,8,FALSE)</f>
        <v>0</v>
      </c>
      <c r="AF139" s="318"/>
      <c r="AG139" s="317"/>
      <c r="AH139" s="318"/>
      <c r="AI139" s="318">
        <f>+VLOOKUP($G139,GenRetS!$D$10:$K$195,8,FALSE)</f>
        <v>0</v>
      </c>
      <c r="AJ139" s="318"/>
      <c r="AK139" s="317" t="s">
        <v>88</v>
      </c>
      <c r="AL139" s="318"/>
      <c r="AM139" s="318">
        <f>+VLOOKUP($G139,Laundr!$D$10:$K$195,8,FALSE)</f>
        <v>0</v>
      </c>
      <c r="AN139" s="318"/>
      <c r="AO139" s="319"/>
      <c r="AP139" s="319"/>
    </row>
    <row r="140" spans="1:42" s="71" customFormat="1" ht="12" outlineLevel="1">
      <c r="A140" s="82"/>
      <c r="B140" s="82"/>
      <c r="C140" s="82"/>
      <c r="D140" s="82"/>
      <c r="E140" s="1126"/>
      <c r="F140" s="1127"/>
      <c r="G140" s="322" t="s">
        <v>453</v>
      </c>
      <c r="H140" s="320"/>
      <c r="I140" s="317" t="s">
        <v>196</v>
      </c>
      <c r="J140" s="318"/>
      <c r="K140" s="318"/>
      <c r="L140" s="318">
        <f>+VLOOKUP($G140,Supermarket!$D$147:$K$158,8,FALSE)</f>
        <v>36000</v>
      </c>
      <c r="M140" s="317"/>
      <c r="N140" s="318"/>
      <c r="O140" s="318"/>
      <c r="P140" s="318">
        <f>+VLOOKUP($G140,PharmacyL!$D$10:$K$194,8,FALSE)</f>
        <v>36000</v>
      </c>
      <c r="Q140" s="317"/>
      <c r="R140" s="318"/>
      <c r="S140" s="318">
        <f>+VLOOKUP($G140,PharmacyS!$D$10:$K$195,8,FALSE)</f>
        <v>36000</v>
      </c>
      <c r="T140" s="318">
        <f>+VLOOKUP($G140,PharmacyS!$D$10:$K$195,8,FALSE)</f>
        <v>36000</v>
      </c>
      <c r="U140" s="317"/>
      <c r="V140" s="318"/>
      <c r="W140" s="318"/>
      <c r="X140" s="318">
        <f>+VLOOKUP($G140,HealthCare!$D$10:$K$195,8,FALSE)</f>
        <v>36000</v>
      </c>
      <c r="Y140" s="317" t="s">
        <v>196</v>
      </c>
      <c r="Z140" s="318"/>
      <c r="AA140" s="318"/>
      <c r="AB140" s="318">
        <f>+VLOOKUP($G140,Restaurant!$D$10:$K$194,8,FALSE)</f>
        <v>36000</v>
      </c>
      <c r="AC140" s="317"/>
      <c r="AD140" s="318"/>
      <c r="AE140" s="318"/>
      <c r="AF140" s="318">
        <f>+VLOOKUP($G140,GenRetL!$D$10:$K$194,8,FALSE)</f>
        <v>0</v>
      </c>
      <c r="AG140" s="317"/>
      <c r="AH140" s="318"/>
      <c r="AI140" s="318"/>
      <c r="AJ140" s="318">
        <f>+VLOOKUP($G140,GenRetS!$D$10:$K$195,8,FALSE)</f>
        <v>0</v>
      </c>
      <c r="AK140" s="317" t="s">
        <v>196</v>
      </c>
      <c r="AL140" s="318"/>
      <c r="AM140" s="318"/>
      <c r="AN140" s="318">
        <f>+VLOOKUP($G140,Laundr!$D$10:$K$195,8,FALSE)</f>
        <v>36000</v>
      </c>
      <c r="AO140" s="319"/>
      <c r="AP140" s="319"/>
    </row>
    <row r="141" spans="1:42" s="71" customFormat="1" ht="12" outlineLevel="1">
      <c r="A141" s="82"/>
      <c r="B141" s="82"/>
      <c r="C141" s="82"/>
      <c r="D141" s="82"/>
      <c r="E141" s="1122" t="s">
        <v>6</v>
      </c>
      <c r="F141" s="1123"/>
      <c r="G141" s="1128" t="s">
        <v>58</v>
      </c>
      <c r="H141" s="1129"/>
      <c r="I141" s="317"/>
      <c r="J141" s="318"/>
      <c r="K141" s="318"/>
      <c r="L141" s="318"/>
      <c r="M141" s="317"/>
      <c r="N141" s="318"/>
      <c r="O141" s="318"/>
      <c r="P141" s="318"/>
      <c r="Q141" s="317"/>
      <c r="R141" s="318"/>
      <c r="S141" s="318"/>
      <c r="T141" s="318"/>
      <c r="U141" s="317"/>
      <c r="V141" s="318"/>
      <c r="W141" s="318"/>
      <c r="X141" s="318"/>
      <c r="Y141" s="317"/>
      <c r="Z141" s="318"/>
      <c r="AA141" s="318"/>
      <c r="AB141" s="318"/>
      <c r="AC141" s="317"/>
      <c r="AD141" s="318"/>
      <c r="AE141" s="318"/>
      <c r="AF141" s="318"/>
      <c r="AG141" s="317"/>
      <c r="AH141" s="318"/>
      <c r="AI141" s="318"/>
      <c r="AJ141" s="318"/>
      <c r="AK141" s="317"/>
      <c r="AL141" s="318"/>
      <c r="AM141" s="318"/>
      <c r="AN141" s="318"/>
      <c r="AO141" s="319"/>
      <c r="AP141" s="319"/>
    </row>
    <row r="142" spans="1:42" s="71" customFormat="1" ht="12" outlineLevel="1">
      <c r="A142" s="82"/>
      <c r="B142" s="82"/>
      <c r="C142" s="82"/>
      <c r="D142" s="82"/>
      <c r="E142" s="1124"/>
      <c r="F142" s="1125"/>
      <c r="G142" s="322" t="s">
        <v>454</v>
      </c>
      <c r="H142" s="320"/>
      <c r="I142" s="317" t="s">
        <v>200</v>
      </c>
      <c r="J142" s="318">
        <f>+VLOOKUP($G142,Supermarket!$D$147:$K$158,8,FALSE)</f>
        <v>700</v>
      </c>
      <c r="K142" s="318"/>
      <c r="L142" s="318"/>
      <c r="M142" s="317"/>
      <c r="N142" s="318">
        <f>+VLOOKUP($G142,PharmacyL!$D$10:$K$194,8,FALSE)</f>
        <v>700</v>
      </c>
      <c r="O142" s="318"/>
      <c r="P142" s="318"/>
      <c r="Q142" s="317"/>
      <c r="R142" s="318">
        <f>+VLOOKUP($G142,PharmacyS!$D$10:$K$195,8,FALSE)</f>
        <v>700</v>
      </c>
      <c r="S142" s="318"/>
      <c r="T142" s="318"/>
      <c r="U142" s="317"/>
      <c r="V142" s="318">
        <f>+VLOOKUP($G142,HealthCare!$D$10:$K$195,8,FALSE)</f>
        <v>700</v>
      </c>
      <c r="W142" s="318"/>
      <c r="X142" s="318"/>
      <c r="Y142" s="317" t="s">
        <v>200</v>
      </c>
      <c r="Z142" s="318">
        <f>+VLOOKUP($G142,Restaurant!$D$10:$K$194,8,FALSE)</f>
        <v>700</v>
      </c>
      <c r="AA142" s="318"/>
      <c r="AB142" s="318"/>
      <c r="AC142" s="317"/>
      <c r="AD142" s="318">
        <f>+VLOOKUP($G142,GenRetL!$D$10:$K$194,8,FALSE)</f>
        <v>0</v>
      </c>
      <c r="AE142" s="318"/>
      <c r="AF142" s="318"/>
      <c r="AG142" s="317"/>
      <c r="AH142" s="318">
        <f>+VLOOKUP($G142,GenRetS!$D$10:$K$195,8,FALSE)</f>
        <v>0</v>
      </c>
      <c r="AI142" s="318"/>
      <c r="AJ142" s="318"/>
      <c r="AK142" s="317" t="s">
        <v>200</v>
      </c>
      <c r="AL142" s="318">
        <f>+VLOOKUP($G142,Laundr!$D$10:$K$195,8,FALSE)</f>
        <v>700</v>
      </c>
      <c r="AM142" s="318"/>
      <c r="AN142" s="318"/>
      <c r="AO142" s="319"/>
      <c r="AP142" s="319"/>
    </row>
    <row r="143" spans="1:42" s="71" customFormat="1" ht="12" outlineLevel="1">
      <c r="A143" s="82"/>
      <c r="B143" s="82"/>
      <c r="C143" s="82"/>
      <c r="D143" s="82"/>
      <c r="E143" s="1124"/>
      <c r="F143" s="1125"/>
      <c r="G143" s="322" t="s">
        <v>455</v>
      </c>
      <c r="H143" s="320"/>
      <c r="I143" s="317" t="s">
        <v>198</v>
      </c>
      <c r="J143" s="318"/>
      <c r="K143" s="318">
        <f>+VLOOKUP($G143,Supermarket!$D$147:$K$158,8,FALSE)</f>
        <v>5000</v>
      </c>
      <c r="L143" s="318"/>
      <c r="M143" s="317"/>
      <c r="N143" s="318"/>
      <c r="O143" s="318">
        <f>+VLOOKUP($G143,PharmacyL!$D$10:$K$194,8,FALSE)</f>
        <v>5000</v>
      </c>
      <c r="P143" s="318"/>
      <c r="Q143" s="317"/>
      <c r="R143" s="318"/>
      <c r="S143" s="318">
        <f>+VLOOKUP($G143,PharmacyS!$D$10:$K$195,8,FALSE)</f>
        <v>5000</v>
      </c>
      <c r="T143" s="318"/>
      <c r="U143" s="317"/>
      <c r="V143" s="318"/>
      <c r="W143" s="318">
        <f>+VLOOKUP($G143,HealthCare!$D$10:$K$195,8,FALSE)</f>
        <v>5000</v>
      </c>
      <c r="X143" s="318"/>
      <c r="Y143" s="317" t="s">
        <v>198</v>
      </c>
      <c r="Z143" s="318"/>
      <c r="AA143" s="318">
        <f>+VLOOKUP($G143,Restaurant!$D$10:$K$194,8,FALSE)</f>
        <v>5000</v>
      </c>
      <c r="AB143" s="318"/>
      <c r="AC143" s="317"/>
      <c r="AD143" s="318"/>
      <c r="AE143" s="318">
        <f>+VLOOKUP($G143,GenRetL!$D$10:$K$194,8,FALSE)</f>
        <v>0</v>
      </c>
      <c r="AF143" s="318"/>
      <c r="AG143" s="317"/>
      <c r="AH143" s="318"/>
      <c r="AI143" s="318">
        <f>+VLOOKUP($G143,GenRetS!$D$10:$K$195,8,FALSE)</f>
        <v>0</v>
      </c>
      <c r="AJ143" s="318"/>
      <c r="AK143" s="317" t="s">
        <v>198</v>
      </c>
      <c r="AL143" s="318"/>
      <c r="AM143" s="318">
        <f>+VLOOKUP($G143,Laundr!$D$10:$K$195,8,FALSE)</f>
        <v>5000</v>
      </c>
      <c r="AN143" s="318"/>
      <c r="AO143" s="319"/>
      <c r="AP143" s="319"/>
    </row>
    <row r="144" spans="1:42" s="71" customFormat="1" ht="12" outlineLevel="1">
      <c r="A144" s="82"/>
      <c r="B144" s="82"/>
      <c r="C144" s="82"/>
      <c r="D144" s="82"/>
      <c r="E144" s="1126"/>
      <c r="F144" s="1127"/>
      <c r="G144" s="322" t="s">
        <v>456</v>
      </c>
      <c r="H144" s="320"/>
      <c r="I144" s="317" t="s">
        <v>199</v>
      </c>
      <c r="J144" s="318"/>
      <c r="K144" s="318"/>
      <c r="L144" s="318">
        <f>+VLOOKUP($G144,Supermarket!$D$147:$K$158,8,FALSE)</f>
        <v>36000</v>
      </c>
      <c r="M144" s="317"/>
      <c r="N144" s="318"/>
      <c r="O144" s="318"/>
      <c r="P144" s="318">
        <f>+VLOOKUP($G144,PharmacyL!$D$10:$K$194,8,FALSE)</f>
        <v>36000</v>
      </c>
      <c r="Q144" s="317"/>
      <c r="R144" s="318"/>
      <c r="S144" s="318"/>
      <c r="T144" s="318">
        <f>+VLOOKUP($G144,PharmacyS!$D$10:$K$195,8,FALSE)</f>
        <v>36000</v>
      </c>
      <c r="U144" s="317"/>
      <c r="V144" s="318"/>
      <c r="W144" s="318"/>
      <c r="X144" s="318">
        <f>+VLOOKUP($G144,HealthCare!$D$10:$K$195,8,FALSE)</f>
        <v>0</v>
      </c>
      <c r="Y144" s="317" t="s">
        <v>199</v>
      </c>
      <c r="Z144" s="318"/>
      <c r="AA144" s="318"/>
      <c r="AB144" s="318">
        <f>+VLOOKUP($G144,Restaurant!$D$10:$K$194,8,FALSE)</f>
        <v>36000</v>
      </c>
      <c r="AC144" s="317"/>
      <c r="AD144" s="318"/>
      <c r="AE144" s="318"/>
      <c r="AF144" s="318"/>
      <c r="AG144" s="317"/>
      <c r="AH144" s="318"/>
      <c r="AI144" s="318"/>
      <c r="AJ144" s="318">
        <f>+VLOOKUP($G144,GenRetS!$D$10:$K$195,8,FALSE)</f>
        <v>0</v>
      </c>
      <c r="AK144" s="317" t="s">
        <v>199</v>
      </c>
      <c r="AL144" s="318"/>
      <c r="AM144" s="318"/>
      <c r="AN144" s="318">
        <f>+VLOOKUP($G144,Laundr!$D$10:$K$195,8,FALSE)</f>
        <v>36000</v>
      </c>
      <c r="AO144" s="319"/>
      <c r="AP144" s="319"/>
    </row>
    <row r="145" spans="1:42" s="71" customFormat="1" ht="12" outlineLevel="1">
      <c r="A145" s="82"/>
      <c r="B145" s="82"/>
      <c r="C145" s="82"/>
      <c r="D145" s="82"/>
      <c r="E145" s="1122" t="s">
        <v>7</v>
      </c>
      <c r="F145" s="1123"/>
      <c r="G145" s="1128" t="s">
        <v>59</v>
      </c>
      <c r="H145" s="1129"/>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c r="AE145" s="317"/>
      <c r="AF145" s="318"/>
      <c r="AG145" s="317"/>
      <c r="AH145" s="317"/>
      <c r="AI145" s="317"/>
      <c r="AJ145" s="317"/>
      <c r="AK145" s="317"/>
      <c r="AL145" s="318"/>
      <c r="AM145" s="318"/>
      <c r="AN145" s="318"/>
      <c r="AO145" s="319"/>
      <c r="AP145" s="319"/>
    </row>
    <row r="146" spans="1:42" s="71" customFormat="1" ht="12" outlineLevel="1">
      <c r="A146" s="82"/>
      <c r="B146" s="82"/>
      <c r="C146" s="82"/>
      <c r="D146" s="82"/>
      <c r="E146" s="1124"/>
      <c r="F146" s="1125"/>
      <c r="G146" s="322" t="s">
        <v>457</v>
      </c>
      <c r="H146" s="320"/>
      <c r="I146" s="317" t="s">
        <v>88</v>
      </c>
      <c r="J146" s="318">
        <f>+VLOOKUP($G146,Supermarket!$D$147:$K$158,8,FALSE)</f>
        <v>0</v>
      </c>
      <c r="K146" s="317" t="s">
        <v>88</v>
      </c>
      <c r="L146" s="317"/>
      <c r="M146" s="317" t="s">
        <v>88</v>
      </c>
      <c r="N146" s="317" t="s">
        <v>88</v>
      </c>
      <c r="O146" s="317" t="s">
        <v>88</v>
      </c>
      <c r="P146" s="317" t="s">
        <v>88</v>
      </c>
      <c r="Q146" s="317" t="s">
        <v>88</v>
      </c>
      <c r="R146" s="318">
        <f>+VLOOKUP($G146,PharmacyS!$D$10:$K$195,8,FALSE)</f>
        <v>0</v>
      </c>
      <c r="S146" s="317"/>
      <c r="T146" s="317" t="s">
        <v>88</v>
      </c>
      <c r="U146" s="317" t="s">
        <v>88</v>
      </c>
      <c r="V146" s="318">
        <f>+VLOOKUP($G146,HealthCare!$D$10:$K$195,8,FALSE)</f>
        <v>0</v>
      </c>
      <c r="W146" s="317"/>
      <c r="X146" s="317"/>
      <c r="Y146" s="317" t="s">
        <v>88</v>
      </c>
      <c r="Z146" s="318">
        <f>+VLOOKUP($G146,Restaurant!$D$10:$K$194,8,FALSE)</f>
        <v>0</v>
      </c>
      <c r="AA146" s="317"/>
      <c r="AB146" s="317"/>
      <c r="AC146" s="317" t="s">
        <v>88</v>
      </c>
      <c r="AD146" s="318">
        <f>+VLOOKUP($G146,GenRetL!$D$10:$K$194,8,FALSE)</f>
        <v>0</v>
      </c>
      <c r="AE146" s="317"/>
      <c r="AF146" s="317"/>
      <c r="AG146" s="317" t="s">
        <v>88</v>
      </c>
      <c r="AH146" s="318">
        <f>+VLOOKUP($G146,GenRetS!$D$10:$K$195,8,FALSE)</f>
        <v>0</v>
      </c>
      <c r="AI146" s="317"/>
      <c r="AJ146" s="317"/>
      <c r="AK146" s="317" t="s">
        <v>88</v>
      </c>
      <c r="AL146" s="318">
        <f>+VLOOKUP($G146,Laundr!$D$10:$K$195,8,FALSE)</f>
        <v>0</v>
      </c>
      <c r="AM146" s="318"/>
      <c r="AN146" s="318"/>
      <c r="AO146" s="319"/>
      <c r="AP146" s="319"/>
    </row>
    <row r="147" spans="1:42" s="71" customFormat="1" ht="12" outlineLevel="1">
      <c r="A147" s="82"/>
      <c r="B147" s="82"/>
      <c r="C147" s="82"/>
      <c r="D147" s="82"/>
      <c r="E147" s="1124"/>
      <c r="F147" s="1125"/>
      <c r="G147" s="322" t="s">
        <v>458</v>
      </c>
      <c r="H147" s="320"/>
      <c r="I147" s="317" t="s">
        <v>88</v>
      </c>
      <c r="J147" s="317" t="s">
        <v>88</v>
      </c>
      <c r="K147" s="318">
        <f>+VLOOKUP($G147,Supermarket!$D$147:$K$158,8,FALSE)</f>
        <v>0</v>
      </c>
      <c r="L147" s="317"/>
      <c r="M147" s="317" t="s">
        <v>88</v>
      </c>
      <c r="N147" s="317" t="s">
        <v>88</v>
      </c>
      <c r="O147" s="317" t="s">
        <v>88</v>
      </c>
      <c r="P147" s="317" t="s">
        <v>88</v>
      </c>
      <c r="Q147" s="317" t="s">
        <v>88</v>
      </c>
      <c r="R147" s="317" t="s">
        <v>88</v>
      </c>
      <c r="S147" s="318">
        <f>+VLOOKUP($G147,PharmacyS!$D$10:$K$195,8,FALSE)</f>
        <v>0</v>
      </c>
      <c r="T147" s="317" t="s">
        <v>88</v>
      </c>
      <c r="U147" s="317" t="s">
        <v>88</v>
      </c>
      <c r="V147" s="317"/>
      <c r="W147" s="318">
        <f>+VLOOKUP($G147,HealthCare!$D$10:$K$195,8,FALSE)</f>
        <v>0</v>
      </c>
      <c r="X147" s="317"/>
      <c r="Y147" s="317" t="s">
        <v>88</v>
      </c>
      <c r="Z147" s="317"/>
      <c r="AA147" s="318">
        <f>+VLOOKUP($G147,Restaurant!$D$10:$K$194,8,FALSE)</f>
        <v>0</v>
      </c>
      <c r="AB147" s="317"/>
      <c r="AC147" s="317" t="s">
        <v>88</v>
      </c>
      <c r="AD147" s="317"/>
      <c r="AE147" s="318">
        <f>+VLOOKUP($G147,GenRetL!$D$10:$K$194,8,FALSE)</f>
        <v>0</v>
      </c>
      <c r="AF147" s="317"/>
      <c r="AG147" s="317" t="s">
        <v>88</v>
      </c>
      <c r="AH147" s="317"/>
      <c r="AI147" s="318">
        <f>+VLOOKUP($G147,GenRetS!$D$10:$K$195,8,FALSE)</f>
        <v>0</v>
      </c>
      <c r="AJ147" s="317"/>
      <c r="AK147" s="317" t="s">
        <v>88</v>
      </c>
      <c r="AL147" s="318"/>
      <c r="AM147" s="318">
        <f>+VLOOKUP($G147,Laundr!$D$10:$K$195,8,FALSE)</f>
        <v>0</v>
      </c>
      <c r="AN147" s="318"/>
      <c r="AO147" s="319"/>
      <c r="AP147" s="319"/>
    </row>
    <row r="148" spans="1:42" s="71" customFormat="1" ht="24" outlineLevel="1">
      <c r="A148" s="82"/>
      <c r="B148" s="82"/>
      <c r="C148" s="82"/>
      <c r="D148" s="82"/>
      <c r="E148" s="1126"/>
      <c r="F148" s="1127"/>
      <c r="G148" s="322" t="s">
        <v>459</v>
      </c>
      <c r="H148" s="320"/>
      <c r="I148" s="317" t="s">
        <v>201</v>
      </c>
      <c r="J148" s="317"/>
      <c r="K148" s="317"/>
      <c r="L148" s="318">
        <f>+VLOOKUP($G148,Supermarket!$D$147:$K$158,8,FALSE)</f>
        <v>2000</v>
      </c>
      <c r="M148" s="317" t="s">
        <v>201</v>
      </c>
      <c r="N148" s="317" t="s">
        <v>201</v>
      </c>
      <c r="O148" s="317" t="s">
        <v>201</v>
      </c>
      <c r="P148" s="318">
        <f>+VLOOKUP($G148,PharmacyL!$D$10:$K$194,8,FALSE)</f>
        <v>2000</v>
      </c>
      <c r="Q148" s="317" t="s">
        <v>201</v>
      </c>
      <c r="R148" s="317" t="s">
        <v>201</v>
      </c>
      <c r="S148" s="317" t="s">
        <v>201</v>
      </c>
      <c r="T148" s="318">
        <f>+VLOOKUP($G148,PharmacyS!$D$10:$K$195,8,FALSE)</f>
        <v>2000</v>
      </c>
      <c r="U148" s="317" t="s">
        <v>201</v>
      </c>
      <c r="V148" s="317" t="s">
        <v>201</v>
      </c>
      <c r="W148" s="317" t="s">
        <v>201</v>
      </c>
      <c r="X148" s="318">
        <f>+VLOOKUP($G148,HealthCare!$D$10:$K$195,8,FALSE)</f>
        <v>2000</v>
      </c>
      <c r="Y148" s="317" t="s">
        <v>201</v>
      </c>
      <c r="Z148" s="317" t="s">
        <v>201</v>
      </c>
      <c r="AA148" s="317" t="s">
        <v>201</v>
      </c>
      <c r="AB148" s="318">
        <f>+VLOOKUP($G148,Restaurant!$D$10:$K$194,8,FALSE)</f>
        <v>2000</v>
      </c>
      <c r="AC148" s="317" t="s">
        <v>201</v>
      </c>
      <c r="AD148" s="317"/>
      <c r="AE148" s="317"/>
      <c r="AF148" s="318">
        <f>+VLOOKUP($G148,GenRetL!$D$10:$K$194,8,FALSE)</f>
        <v>2000</v>
      </c>
      <c r="AG148" s="317" t="s">
        <v>201</v>
      </c>
      <c r="AH148" s="317" t="s">
        <v>201</v>
      </c>
      <c r="AI148" s="317" t="s">
        <v>201</v>
      </c>
      <c r="AJ148" s="318">
        <f>+VLOOKUP($G148,GenRetS!$D$10:$K$195,8,FALSE)</f>
        <v>2000</v>
      </c>
      <c r="AK148" s="317" t="s">
        <v>201</v>
      </c>
      <c r="AL148" s="318" t="s">
        <v>201</v>
      </c>
      <c r="AM148" s="318" t="s">
        <v>201</v>
      </c>
      <c r="AN148" s="318">
        <f>+VLOOKUP($G148,Laundr!$D$10:$K$195,8,FALSE)</f>
        <v>4000</v>
      </c>
      <c r="AO148" s="319"/>
      <c r="AP148" s="319"/>
    </row>
    <row r="149" spans="1:42" s="85" customFormat="1" ht="12">
      <c r="A149" s="84"/>
      <c r="B149" s="84"/>
      <c r="C149" s="84"/>
      <c r="D149" s="84"/>
      <c r="E149" s="313">
        <v>3.3</v>
      </c>
      <c r="F149" s="1119" t="s">
        <v>44</v>
      </c>
      <c r="G149" s="1120"/>
      <c r="H149" s="1121"/>
      <c r="I149" s="317"/>
      <c r="J149" s="318"/>
      <c r="K149" s="318"/>
      <c r="L149" s="318"/>
      <c r="M149" s="317"/>
      <c r="N149" s="318"/>
      <c r="O149" s="318"/>
      <c r="P149" s="318"/>
      <c r="Q149" s="317"/>
      <c r="R149" s="318"/>
      <c r="S149" s="318"/>
      <c r="T149" s="318"/>
      <c r="U149" s="317"/>
      <c r="V149" s="318"/>
      <c r="W149" s="318"/>
      <c r="X149" s="318"/>
      <c r="Y149" s="317"/>
      <c r="Z149" s="318"/>
      <c r="AA149" s="318"/>
      <c r="AB149" s="318"/>
      <c r="AC149" s="317"/>
      <c r="AD149" s="318"/>
      <c r="AE149" s="318"/>
      <c r="AF149" s="318"/>
      <c r="AG149" s="317"/>
      <c r="AH149" s="318"/>
      <c r="AI149" s="318"/>
      <c r="AJ149" s="318"/>
      <c r="AK149" s="317"/>
      <c r="AL149" s="318"/>
      <c r="AM149" s="318"/>
      <c r="AN149" s="318"/>
      <c r="AO149" s="319"/>
      <c r="AP149" s="319"/>
    </row>
    <row r="150" spans="1:42" s="71" customFormat="1" ht="12" outlineLevel="1">
      <c r="A150" s="82"/>
      <c r="B150" s="82"/>
      <c r="C150" s="82"/>
      <c r="D150" s="82"/>
      <c r="E150" s="1122" t="s">
        <v>5</v>
      </c>
      <c r="F150" s="1123"/>
      <c r="G150" s="1143" t="s">
        <v>76</v>
      </c>
      <c r="H150" s="1144"/>
      <c r="I150" s="317"/>
      <c r="J150" s="318"/>
      <c r="K150" s="318"/>
      <c r="L150" s="318"/>
      <c r="M150" s="317"/>
      <c r="N150" s="318"/>
      <c r="O150" s="318"/>
      <c r="P150" s="318"/>
      <c r="Q150" s="317"/>
      <c r="R150" s="318"/>
      <c r="S150" s="318"/>
      <c r="T150" s="318"/>
      <c r="U150" s="317"/>
      <c r="V150" s="318"/>
      <c r="W150" s="318"/>
      <c r="X150" s="318"/>
      <c r="Y150" s="317"/>
      <c r="Z150" s="318"/>
      <c r="AA150" s="318"/>
      <c r="AB150" s="318"/>
      <c r="AC150" s="317"/>
      <c r="AD150" s="318"/>
      <c r="AE150" s="318"/>
      <c r="AF150" s="318"/>
      <c r="AG150" s="317"/>
      <c r="AH150" s="318"/>
      <c r="AI150" s="318"/>
      <c r="AJ150" s="318"/>
      <c r="AK150" s="317"/>
      <c r="AL150" s="318"/>
      <c r="AM150" s="318"/>
      <c r="AN150" s="318"/>
      <c r="AO150" s="319"/>
      <c r="AP150" s="319"/>
    </row>
    <row r="151" spans="1:42" s="71" customFormat="1" ht="24" outlineLevel="1">
      <c r="A151" s="82"/>
      <c r="B151" s="82"/>
      <c r="C151" s="82"/>
      <c r="D151" s="82"/>
      <c r="E151" s="1124"/>
      <c r="F151" s="1125"/>
      <c r="G151" s="322" t="s">
        <v>460</v>
      </c>
      <c r="H151" s="320"/>
      <c r="I151" s="317" t="s">
        <v>203</v>
      </c>
      <c r="J151" s="318">
        <f>+VLOOKUP($G151,Supermarket!$D$160:$K$173,8,FALSE)</f>
        <v>0</v>
      </c>
      <c r="K151" s="318"/>
      <c r="L151" s="318"/>
      <c r="M151" s="317" t="s">
        <v>203</v>
      </c>
      <c r="N151" s="318">
        <f>+VLOOKUP($G151,PharmacyL!$D$10:$K$194,8,FALSE)</f>
        <v>0</v>
      </c>
      <c r="O151" s="318"/>
      <c r="P151" s="318"/>
      <c r="Q151" s="317" t="s">
        <v>203</v>
      </c>
      <c r="R151" s="318">
        <f>+VLOOKUP($G151,PharmacyS!$D$10:$K$195,8,FALSE)</f>
        <v>0</v>
      </c>
      <c r="S151" s="318"/>
      <c r="T151" s="318"/>
      <c r="U151" s="317" t="s">
        <v>203</v>
      </c>
      <c r="V151" s="318">
        <f>+VLOOKUP($G151,HealthCare!$D$10:$K$195,8,FALSE)</f>
        <v>0</v>
      </c>
      <c r="W151" s="318"/>
      <c r="X151" s="318"/>
      <c r="Y151" s="317" t="s">
        <v>203</v>
      </c>
      <c r="Z151" s="318">
        <f>+VLOOKUP($G151,Restaurant!$D$10:$K$194,8,FALSE)</f>
        <v>0</v>
      </c>
      <c r="AA151" s="318"/>
      <c r="AB151" s="318"/>
      <c r="AC151" s="317" t="s">
        <v>203</v>
      </c>
      <c r="AD151" s="318">
        <f>+VLOOKUP($G151,GenRetL!$D$10:$K$194,8,FALSE)</f>
        <v>0</v>
      </c>
      <c r="AE151" s="318"/>
      <c r="AF151" s="318"/>
      <c r="AG151" s="317" t="s">
        <v>203</v>
      </c>
      <c r="AH151" s="318">
        <f>+VLOOKUP($G151,GenRetS!$D$10:$K$195,8,FALSE)</f>
        <v>0</v>
      </c>
      <c r="AI151" s="318"/>
      <c r="AJ151" s="318"/>
      <c r="AK151" s="317" t="s">
        <v>203</v>
      </c>
      <c r="AL151" s="318">
        <f>+VLOOKUP($G151,Laundr!$D$10:$K$195,8,FALSE)</f>
        <v>0</v>
      </c>
      <c r="AM151" s="318"/>
      <c r="AN151" s="318"/>
      <c r="AO151" s="319"/>
      <c r="AP151" s="319"/>
    </row>
    <row r="152" spans="1:42" s="71" customFormat="1" ht="12" outlineLevel="1">
      <c r="A152" s="82"/>
      <c r="B152" s="82"/>
      <c r="C152" s="82"/>
      <c r="D152" s="82"/>
      <c r="E152" s="1124"/>
      <c r="F152" s="1125"/>
      <c r="G152" s="322" t="s">
        <v>461</v>
      </c>
      <c r="H152" s="320"/>
      <c r="I152" s="317" t="s">
        <v>88</v>
      </c>
      <c r="J152" s="318"/>
      <c r="K152" s="318">
        <f>+VLOOKUP($G152,Supermarket!$D$160:$K$173,8,FALSE)</f>
        <v>0</v>
      </c>
      <c r="L152" s="318"/>
      <c r="M152" s="317" t="s">
        <v>88</v>
      </c>
      <c r="N152" s="318"/>
      <c r="O152" s="318">
        <f>+VLOOKUP($G152,PharmacyL!$D$10:$K$194,8,FALSE)</f>
        <v>0</v>
      </c>
      <c r="P152" s="318"/>
      <c r="Q152" s="317" t="s">
        <v>88</v>
      </c>
      <c r="R152" s="318"/>
      <c r="S152" s="318">
        <f>+VLOOKUP($G152,PharmacyS!$D$10:$K$195,8,FALSE)</f>
        <v>0</v>
      </c>
      <c r="T152" s="318"/>
      <c r="U152" s="317" t="s">
        <v>88</v>
      </c>
      <c r="V152" s="318"/>
      <c r="W152" s="318">
        <f>+VLOOKUP($G152,HealthCare!$D$10:$K$195,8,FALSE)</f>
        <v>0</v>
      </c>
      <c r="X152" s="318"/>
      <c r="Y152" s="317" t="s">
        <v>88</v>
      </c>
      <c r="Z152" s="318"/>
      <c r="AA152" s="318">
        <f>+VLOOKUP($G152,Restaurant!$D$10:$K$194,8,FALSE)</f>
        <v>0</v>
      </c>
      <c r="AB152" s="318"/>
      <c r="AC152" s="317" t="s">
        <v>88</v>
      </c>
      <c r="AD152" s="318"/>
      <c r="AE152" s="318">
        <f>+VLOOKUP($G152,GenRetL!$D$10:$K$194,8,FALSE)</f>
        <v>0</v>
      </c>
      <c r="AF152" s="318"/>
      <c r="AG152" s="317" t="s">
        <v>88</v>
      </c>
      <c r="AH152" s="318"/>
      <c r="AI152" s="318">
        <f>+VLOOKUP($G152,GenRetS!$D$10:$K$195,8,FALSE)</f>
        <v>0</v>
      </c>
      <c r="AJ152" s="318"/>
      <c r="AK152" s="317" t="s">
        <v>88</v>
      </c>
      <c r="AL152" s="318"/>
      <c r="AM152" s="318">
        <f>+VLOOKUP($G152,Laundr!$D$10:$K$195,8,FALSE)</f>
        <v>0</v>
      </c>
      <c r="AN152" s="318"/>
      <c r="AO152" s="319"/>
      <c r="AP152" s="319"/>
    </row>
    <row r="153" spans="1:42" s="71" customFormat="1" ht="12" outlineLevel="1">
      <c r="A153" s="82"/>
      <c r="B153" s="82"/>
      <c r="C153" s="82"/>
      <c r="D153" s="82"/>
      <c r="E153" s="1126"/>
      <c r="F153" s="1127"/>
      <c r="G153" s="322" t="s">
        <v>462</v>
      </c>
      <c r="H153" s="320"/>
      <c r="I153" s="317" t="s">
        <v>202</v>
      </c>
      <c r="J153" s="318"/>
      <c r="K153" s="318"/>
      <c r="L153" s="318">
        <f>+VLOOKUP($G153,Supermarket!$D$160:$K$173,8,FALSE)</f>
        <v>0</v>
      </c>
      <c r="M153" s="317" t="s">
        <v>202</v>
      </c>
      <c r="N153" s="318"/>
      <c r="O153" s="318"/>
      <c r="P153" s="318">
        <f>+VLOOKUP($G153,PharmacyL!$D$10:$K$194,8,FALSE)</f>
        <v>0</v>
      </c>
      <c r="Q153" s="317" t="s">
        <v>202</v>
      </c>
      <c r="R153" s="318"/>
      <c r="S153" s="318"/>
      <c r="T153" s="318">
        <f>+VLOOKUP($G153,PharmacyS!$D$10:$K$195,8,FALSE)</f>
        <v>0</v>
      </c>
      <c r="U153" s="317" t="s">
        <v>202</v>
      </c>
      <c r="V153" s="318"/>
      <c r="W153" s="318"/>
      <c r="X153" s="318">
        <f>+VLOOKUP($G153,HealthCare!$D$10:$K$195,8,FALSE)</f>
        <v>0</v>
      </c>
      <c r="Y153" s="317" t="s">
        <v>202</v>
      </c>
      <c r="Z153" s="318"/>
      <c r="AA153" s="318"/>
      <c r="AB153" s="318">
        <f>+VLOOKUP($G153,Restaurant!$D$10:$K$194,8,FALSE)</f>
        <v>0</v>
      </c>
      <c r="AC153" s="317" t="s">
        <v>202</v>
      </c>
      <c r="AD153" s="318"/>
      <c r="AE153" s="318"/>
      <c r="AF153" s="318">
        <f>+VLOOKUP($G153,GenRetL!$D$10:$K$194,8,FALSE)</f>
        <v>0</v>
      </c>
      <c r="AG153" s="317" t="s">
        <v>202</v>
      </c>
      <c r="AH153" s="318"/>
      <c r="AI153" s="318"/>
      <c r="AJ153" s="318">
        <f>+VLOOKUP($G153,GenRetS!$D$10:$K$195,8,FALSE)</f>
        <v>0</v>
      </c>
      <c r="AK153" s="317" t="s">
        <v>202</v>
      </c>
      <c r="AL153" s="318"/>
      <c r="AM153" s="318"/>
      <c r="AN153" s="318">
        <f>+VLOOKUP($G153,Laundr!$D$10:$K$195,8,FALSE)</f>
        <v>0</v>
      </c>
      <c r="AO153" s="319"/>
      <c r="AP153" s="319"/>
    </row>
    <row r="154" spans="1:42" s="71" customFormat="1" ht="12" outlineLevel="1">
      <c r="A154" s="82"/>
      <c r="B154" s="82"/>
      <c r="C154" s="82"/>
      <c r="D154" s="82"/>
      <c r="E154" s="1122" t="s">
        <v>6</v>
      </c>
      <c r="F154" s="1123"/>
      <c r="G154" s="1128" t="s">
        <v>50</v>
      </c>
      <c r="H154" s="1129"/>
      <c r="I154" s="319"/>
      <c r="J154" s="323"/>
      <c r="K154" s="323"/>
      <c r="L154" s="323"/>
      <c r="M154" s="319"/>
      <c r="N154" s="323"/>
      <c r="O154" s="323"/>
      <c r="P154" s="323"/>
      <c r="Q154" s="319"/>
      <c r="R154" s="323"/>
      <c r="S154" s="323"/>
      <c r="T154" s="323"/>
      <c r="U154" s="319"/>
      <c r="V154" s="323"/>
      <c r="W154" s="323"/>
      <c r="X154" s="323"/>
      <c r="Y154" s="319"/>
      <c r="Z154" s="323"/>
      <c r="AA154" s="323"/>
      <c r="AB154" s="323"/>
      <c r="AC154" s="319"/>
      <c r="AD154" s="323"/>
      <c r="AE154" s="323"/>
      <c r="AF154" s="323"/>
      <c r="AG154" s="319"/>
      <c r="AH154" s="323"/>
      <c r="AI154" s="323"/>
      <c r="AJ154" s="323"/>
      <c r="AK154" s="319"/>
      <c r="AL154" s="323"/>
      <c r="AM154" s="323"/>
      <c r="AN154" s="323"/>
      <c r="AO154" s="319"/>
      <c r="AP154" s="319"/>
    </row>
    <row r="155" spans="1:42" s="71" customFormat="1" ht="12" outlineLevel="1">
      <c r="A155" s="82"/>
      <c r="B155" s="82"/>
      <c r="C155" s="82"/>
      <c r="D155" s="82"/>
      <c r="E155" s="1124"/>
      <c r="F155" s="1125"/>
      <c r="G155" s="322" t="s">
        <v>463</v>
      </c>
      <c r="H155" s="320"/>
      <c r="I155" s="319" t="s">
        <v>204</v>
      </c>
      <c r="J155" s="318">
        <f>+VLOOKUP($G155,Supermarket!$D$160:$K$173,8,FALSE)</f>
        <v>4040</v>
      </c>
      <c r="K155" s="318"/>
      <c r="L155" s="318"/>
      <c r="M155" s="319" t="s">
        <v>204</v>
      </c>
      <c r="N155" s="318">
        <f>+VLOOKUP($G155,PharmacyL!$D$10:$K$194,8,FALSE)</f>
        <v>4040</v>
      </c>
      <c r="O155" s="318"/>
      <c r="P155" s="318"/>
      <c r="Q155" s="319" t="s">
        <v>204</v>
      </c>
      <c r="R155" s="318">
        <f>+VLOOKUP($G155,PharmacyS!$D$10:$K$195,8,FALSE)</f>
        <v>4040</v>
      </c>
      <c r="S155" s="318"/>
      <c r="T155" s="318"/>
      <c r="U155" s="319" t="s">
        <v>204</v>
      </c>
      <c r="V155" s="318">
        <f>+VLOOKUP($G155,HealthCare!$D$10:$K$195,8,FALSE)</f>
        <v>4040</v>
      </c>
      <c r="W155" s="318"/>
      <c r="X155" s="318"/>
      <c r="Y155" s="319" t="s">
        <v>204</v>
      </c>
      <c r="Z155" s="318">
        <f>+VLOOKUP($G155,Restaurant!$D$10:$K$194,8,FALSE)</f>
        <v>4040</v>
      </c>
      <c r="AA155" s="318"/>
      <c r="AB155" s="318"/>
      <c r="AC155" s="319" t="s">
        <v>204</v>
      </c>
      <c r="AD155" s="318">
        <f>+VLOOKUP($G155,GenRetL!$D$10:$K$194,8,FALSE)</f>
        <v>4040</v>
      </c>
      <c r="AE155" s="318"/>
      <c r="AF155" s="318"/>
      <c r="AG155" s="319" t="s">
        <v>204</v>
      </c>
      <c r="AH155" s="318">
        <f>+VLOOKUP($G155,GenRetS!$D$10:$K$195,8,FALSE)</f>
        <v>1260</v>
      </c>
      <c r="AI155" s="318"/>
      <c r="AJ155" s="318"/>
      <c r="AK155" s="319" t="s">
        <v>204</v>
      </c>
      <c r="AL155" s="318">
        <f>+VLOOKUP($G155,Laundr!$D$10:$K$195,8,FALSE)</f>
        <v>4040</v>
      </c>
      <c r="AM155" s="318"/>
      <c r="AN155" s="318"/>
      <c r="AO155" s="319"/>
      <c r="AP155" s="319"/>
    </row>
    <row r="156" spans="1:42" s="71" customFormat="1" ht="12" outlineLevel="1">
      <c r="A156" s="82"/>
      <c r="B156" s="82"/>
      <c r="C156" s="82"/>
      <c r="D156" s="82"/>
      <c r="E156" s="1124"/>
      <c r="F156" s="1125"/>
      <c r="G156" s="322" t="s">
        <v>464</v>
      </c>
      <c r="H156" s="320"/>
      <c r="I156" s="317" t="s">
        <v>88</v>
      </c>
      <c r="J156" s="318"/>
      <c r="K156" s="318">
        <f>+VLOOKUP($G156,Supermarket!$D$160:$K$173,8,FALSE)</f>
        <v>0</v>
      </c>
      <c r="L156" s="318"/>
      <c r="M156" s="317" t="s">
        <v>88</v>
      </c>
      <c r="N156" s="318"/>
      <c r="O156" s="318">
        <f>+VLOOKUP($G156,PharmacyL!$D$10:$K$194,8,FALSE)</f>
        <v>0</v>
      </c>
      <c r="P156" s="318"/>
      <c r="Q156" s="317" t="s">
        <v>88</v>
      </c>
      <c r="R156" s="318"/>
      <c r="S156" s="318">
        <f>+VLOOKUP($G156,PharmacyS!$D$10:$K$195,8,FALSE)</f>
        <v>0</v>
      </c>
      <c r="T156" s="318"/>
      <c r="U156" s="317" t="s">
        <v>88</v>
      </c>
      <c r="V156" s="318"/>
      <c r="W156" s="318">
        <f>+VLOOKUP($G156,HealthCare!$D$10:$K$195,8,FALSE)</f>
        <v>0</v>
      </c>
      <c r="X156" s="318"/>
      <c r="Y156" s="317" t="s">
        <v>88</v>
      </c>
      <c r="Z156" s="318"/>
      <c r="AA156" s="318">
        <f>+VLOOKUP($G156,Restaurant!$D$10:$K$194,8,FALSE)</f>
        <v>0</v>
      </c>
      <c r="AB156" s="318"/>
      <c r="AC156" s="317" t="s">
        <v>88</v>
      </c>
      <c r="AD156" s="318"/>
      <c r="AE156" s="318">
        <f>+VLOOKUP($G156,GenRetL!$D$10:$K$194,8,FALSE)</f>
        <v>0</v>
      </c>
      <c r="AF156" s="318"/>
      <c r="AG156" s="317" t="s">
        <v>88</v>
      </c>
      <c r="AH156" s="318"/>
      <c r="AI156" s="318">
        <f>+VLOOKUP($G156,GenRetS!$D$10:$K$195,8,FALSE)</f>
        <v>0</v>
      </c>
      <c r="AJ156" s="318"/>
      <c r="AK156" s="317" t="s">
        <v>88</v>
      </c>
      <c r="AL156" s="318"/>
      <c r="AM156" s="318">
        <f>+VLOOKUP($G156,Laundr!$D$10:$K$195,8,FALSE)</f>
        <v>0</v>
      </c>
      <c r="AN156" s="318"/>
      <c r="AO156" s="319"/>
      <c r="AP156" s="319"/>
    </row>
    <row r="157" spans="1:42" s="71" customFormat="1" ht="12" outlineLevel="1">
      <c r="A157" s="82"/>
      <c r="B157" s="82"/>
      <c r="C157" s="82"/>
      <c r="D157" s="82"/>
      <c r="E157" s="1126"/>
      <c r="F157" s="1127"/>
      <c r="G157" s="322" t="s">
        <v>465</v>
      </c>
      <c r="H157" s="320"/>
      <c r="I157" s="317" t="s">
        <v>205</v>
      </c>
      <c r="J157" s="318"/>
      <c r="K157" s="318"/>
      <c r="L157" s="318">
        <f>+VLOOKUP($G157,Supermarket!$D$160:$K$173,8,FALSE)</f>
        <v>1040</v>
      </c>
      <c r="M157" s="317" t="s">
        <v>205</v>
      </c>
      <c r="N157" s="318"/>
      <c r="O157" s="318"/>
      <c r="P157" s="318">
        <f>+VLOOKUP($G157,PharmacyL!$D$10:$K$194,8,FALSE)</f>
        <v>1040</v>
      </c>
      <c r="Q157" s="317" t="s">
        <v>205</v>
      </c>
      <c r="R157" s="318"/>
      <c r="S157" s="318"/>
      <c r="T157" s="318">
        <f>+VLOOKUP($G157,PharmacyS!$D$10:$K$195,8,FALSE)</f>
        <v>1040</v>
      </c>
      <c r="U157" s="317" t="s">
        <v>205</v>
      </c>
      <c r="V157" s="318"/>
      <c r="W157" s="318"/>
      <c r="X157" s="318">
        <f>+VLOOKUP($G157,HealthCare!$D$10:$K$195,8,FALSE)</f>
        <v>1040</v>
      </c>
      <c r="Y157" s="317" t="s">
        <v>205</v>
      </c>
      <c r="Z157" s="318"/>
      <c r="AA157" s="318"/>
      <c r="AB157" s="318">
        <f>+VLOOKUP($G157,Restaurant!$D$10:$K$194,8,FALSE)</f>
        <v>1040</v>
      </c>
      <c r="AC157" s="317" t="s">
        <v>205</v>
      </c>
      <c r="AD157" s="318"/>
      <c r="AE157" s="318"/>
      <c r="AF157" s="318">
        <f>+VLOOKUP($G157,GenRetL!$D$10:$K$194,8,FALSE)</f>
        <v>1040</v>
      </c>
      <c r="AG157" s="317" t="s">
        <v>205</v>
      </c>
      <c r="AH157" s="318"/>
      <c r="AI157" s="318"/>
      <c r="AJ157" s="318">
        <f>+VLOOKUP($G157,GenRetS!$D$10:$K$195,8,FALSE)</f>
        <v>260</v>
      </c>
      <c r="AK157" s="317" t="s">
        <v>205</v>
      </c>
      <c r="AL157" s="318"/>
      <c r="AM157" s="318"/>
      <c r="AN157" s="318">
        <f>+VLOOKUP($G157,Laundr!$D$10:$K$195,8,FALSE)</f>
        <v>1040</v>
      </c>
      <c r="AO157" s="319"/>
      <c r="AP157" s="319"/>
    </row>
    <row r="158" spans="1:42" s="71" customFormat="1" ht="12" outlineLevel="1">
      <c r="A158" s="82"/>
      <c r="B158" s="82"/>
      <c r="C158" s="82"/>
      <c r="D158" s="82"/>
      <c r="E158" s="1122" t="s">
        <v>7</v>
      </c>
      <c r="F158" s="1123"/>
      <c r="G158" s="1128" t="s">
        <v>51</v>
      </c>
      <c r="H158" s="1129"/>
      <c r="I158" s="319"/>
      <c r="J158" s="323"/>
      <c r="K158" s="323"/>
      <c r="L158" s="323"/>
      <c r="M158" s="319"/>
      <c r="N158" s="323"/>
      <c r="O158" s="323"/>
      <c r="P158" s="323"/>
      <c r="Q158" s="319"/>
      <c r="R158" s="323"/>
      <c r="S158" s="323"/>
      <c r="T158" s="323"/>
      <c r="U158" s="319"/>
      <c r="V158" s="323"/>
      <c r="W158" s="323"/>
      <c r="X158" s="323"/>
      <c r="Y158" s="319"/>
      <c r="Z158" s="323"/>
      <c r="AA158" s="323"/>
      <c r="AB158" s="323"/>
      <c r="AC158" s="319"/>
      <c r="AD158" s="323"/>
      <c r="AE158" s="323"/>
      <c r="AF158" s="323"/>
      <c r="AG158" s="319"/>
      <c r="AH158" s="323"/>
      <c r="AI158" s="323"/>
      <c r="AJ158" s="323"/>
      <c r="AK158" s="319"/>
      <c r="AL158" s="323"/>
      <c r="AM158" s="323"/>
      <c r="AN158" s="323"/>
      <c r="AO158" s="319"/>
      <c r="AP158" s="319"/>
    </row>
    <row r="159" spans="1:42" s="71" customFormat="1" ht="12" outlineLevel="1">
      <c r="A159" s="82"/>
      <c r="B159" s="82"/>
      <c r="C159" s="82"/>
      <c r="D159" s="82"/>
      <c r="E159" s="1124"/>
      <c r="F159" s="1125"/>
      <c r="G159" s="322" t="s">
        <v>466</v>
      </c>
      <c r="H159" s="320"/>
      <c r="I159" s="317" t="s">
        <v>206</v>
      </c>
      <c r="J159" s="318">
        <f>+VLOOKUP($G159,Supermarket!$D$160:$K$173,8,FALSE)</f>
        <v>4040</v>
      </c>
      <c r="K159" s="318"/>
      <c r="L159" s="318"/>
      <c r="M159" s="317" t="s">
        <v>206</v>
      </c>
      <c r="N159" s="318">
        <f>+VLOOKUP($G159,PharmacyL!$D$10:$K$194,8,FALSE)</f>
        <v>4040</v>
      </c>
      <c r="O159" s="318"/>
      <c r="P159" s="318"/>
      <c r="Q159" s="317" t="s">
        <v>206</v>
      </c>
      <c r="R159" s="318">
        <f>+VLOOKUP($G159,PharmacyS!$D$10:$K$195,8,FALSE)</f>
        <v>4040</v>
      </c>
      <c r="S159" s="318"/>
      <c r="T159" s="318"/>
      <c r="U159" s="317" t="s">
        <v>206</v>
      </c>
      <c r="V159" s="318">
        <f>+VLOOKUP($G159,HealthCare!$D$10:$K$195,8,FALSE)</f>
        <v>4040</v>
      </c>
      <c r="W159" s="318"/>
      <c r="X159" s="318"/>
      <c r="Y159" s="317" t="s">
        <v>206</v>
      </c>
      <c r="Z159" s="318">
        <f>+VLOOKUP($G159,Restaurant!$D$10:$K$194,8,FALSE)</f>
        <v>4040</v>
      </c>
      <c r="AA159" s="318"/>
      <c r="AB159" s="318"/>
      <c r="AC159" s="317" t="s">
        <v>206</v>
      </c>
      <c r="AD159" s="318">
        <f>+VLOOKUP($G159,GenRetL!$D$10:$K$194,8,FALSE)</f>
        <v>4040</v>
      </c>
      <c r="AE159" s="318"/>
      <c r="AF159" s="318"/>
      <c r="AG159" s="317" t="s">
        <v>206</v>
      </c>
      <c r="AH159" s="318">
        <f>+VLOOKUP($G159,GenRetS!$D$10:$K$195,8,FALSE)</f>
        <v>1260</v>
      </c>
      <c r="AI159" s="318"/>
      <c r="AJ159" s="318"/>
      <c r="AK159" s="317" t="s">
        <v>206</v>
      </c>
      <c r="AL159" s="318">
        <f>+VLOOKUP($G159,Laundr!$D$10:$K$195,8,FALSE)</f>
        <v>4040</v>
      </c>
      <c r="AM159" s="318"/>
      <c r="AN159" s="318"/>
      <c r="AO159" s="319"/>
      <c r="AP159" s="319"/>
    </row>
    <row r="160" spans="1:42" s="71" customFormat="1" ht="12" outlineLevel="1">
      <c r="A160" s="82"/>
      <c r="B160" s="82"/>
      <c r="C160" s="82"/>
      <c r="D160" s="82"/>
      <c r="E160" s="1124"/>
      <c r="F160" s="1125"/>
      <c r="G160" s="322" t="s">
        <v>467</v>
      </c>
      <c r="H160" s="320"/>
      <c r="I160" s="317" t="s">
        <v>88</v>
      </c>
      <c r="J160" s="318"/>
      <c r="K160" s="318">
        <f>+VLOOKUP($G160,Supermarket!$D$160:$K$173,8,FALSE)</f>
        <v>0</v>
      </c>
      <c r="L160" s="318"/>
      <c r="M160" s="317" t="s">
        <v>88</v>
      </c>
      <c r="N160" s="318"/>
      <c r="O160" s="318">
        <f>+VLOOKUP($G160,PharmacyL!$D$10:$K$194,8,FALSE)</f>
        <v>0</v>
      </c>
      <c r="P160" s="318"/>
      <c r="Q160" s="317" t="s">
        <v>88</v>
      </c>
      <c r="R160" s="318"/>
      <c r="S160" s="318">
        <f>+VLOOKUP($G160,PharmacyS!$D$10:$K$195,8,FALSE)</f>
        <v>0</v>
      </c>
      <c r="T160" s="318"/>
      <c r="U160" s="317" t="s">
        <v>88</v>
      </c>
      <c r="V160" s="318"/>
      <c r="W160" s="318">
        <f>+VLOOKUP($G160,HealthCare!$D$10:$K$195,8,FALSE)</f>
        <v>0</v>
      </c>
      <c r="X160" s="318"/>
      <c r="Y160" s="317" t="s">
        <v>88</v>
      </c>
      <c r="Z160" s="318"/>
      <c r="AA160" s="318">
        <f>+VLOOKUP($G160,Restaurant!$D$10:$K$194,8,FALSE)</f>
        <v>0</v>
      </c>
      <c r="AB160" s="318"/>
      <c r="AC160" s="317" t="s">
        <v>88</v>
      </c>
      <c r="AD160" s="318"/>
      <c r="AE160" s="318">
        <f>+VLOOKUP($G160,GenRetL!$D$10:$K$194,8,FALSE)</f>
        <v>0</v>
      </c>
      <c r="AF160" s="318"/>
      <c r="AG160" s="317" t="s">
        <v>88</v>
      </c>
      <c r="AH160" s="318"/>
      <c r="AI160" s="318">
        <f>+VLOOKUP($G160,GenRetS!$D$10:$K$195,8,FALSE)</f>
        <v>0</v>
      </c>
      <c r="AJ160" s="318"/>
      <c r="AK160" s="317" t="s">
        <v>88</v>
      </c>
      <c r="AL160" s="318"/>
      <c r="AM160" s="318">
        <f>+VLOOKUP($G160,Laundr!$D$10:$K$195,8,FALSE)</f>
        <v>0</v>
      </c>
      <c r="AN160" s="318"/>
      <c r="AO160" s="319"/>
      <c r="AP160" s="319"/>
    </row>
    <row r="161" spans="1:42" s="71" customFormat="1" ht="12" outlineLevel="1">
      <c r="A161" s="82"/>
      <c r="B161" s="82"/>
      <c r="C161" s="82"/>
      <c r="D161" s="82"/>
      <c r="E161" s="1126"/>
      <c r="F161" s="1127"/>
      <c r="G161" s="322" t="s">
        <v>468</v>
      </c>
      <c r="H161" s="320"/>
      <c r="I161" s="317" t="s">
        <v>205</v>
      </c>
      <c r="J161" s="318"/>
      <c r="K161" s="318"/>
      <c r="L161" s="318">
        <f>+VLOOKUP($G161,Supermarket!$D$160:$K$173,8,FALSE)</f>
        <v>1040</v>
      </c>
      <c r="M161" s="317" t="s">
        <v>205</v>
      </c>
      <c r="N161" s="318"/>
      <c r="O161" s="318"/>
      <c r="P161" s="318">
        <f>+VLOOKUP($G161,PharmacyL!$D$10:$K$194,8,FALSE)</f>
        <v>1040</v>
      </c>
      <c r="Q161" s="317" t="s">
        <v>205</v>
      </c>
      <c r="R161" s="318"/>
      <c r="S161" s="318"/>
      <c r="T161" s="318">
        <f>+VLOOKUP($G161,PharmacyS!$D$10:$K$195,8,FALSE)</f>
        <v>1040</v>
      </c>
      <c r="U161" s="317" t="s">
        <v>205</v>
      </c>
      <c r="V161" s="318"/>
      <c r="W161" s="318"/>
      <c r="X161" s="318">
        <f>+VLOOKUP($G161,HealthCare!$D$10:$K$195,8,FALSE)</f>
        <v>1040</v>
      </c>
      <c r="Y161" s="317" t="s">
        <v>205</v>
      </c>
      <c r="Z161" s="318"/>
      <c r="AA161" s="318"/>
      <c r="AB161" s="318">
        <f>+VLOOKUP($G161,Restaurant!$D$10:$K$194,8,FALSE)</f>
        <v>1040</v>
      </c>
      <c r="AC161" s="317" t="s">
        <v>205</v>
      </c>
      <c r="AD161" s="318"/>
      <c r="AE161" s="318"/>
      <c r="AF161" s="318">
        <f>+VLOOKUP($G161,GenRetL!$D$10:$K$194,8,FALSE)</f>
        <v>1040</v>
      </c>
      <c r="AG161" s="317" t="s">
        <v>205</v>
      </c>
      <c r="AH161" s="318"/>
      <c r="AI161" s="318"/>
      <c r="AJ161" s="318">
        <f>+VLOOKUP($G161,GenRetS!$D$10:$K$195,8,FALSE)</f>
        <v>260</v>
      </c>
      <c r="AK161" s="317" t="s">
        <v>205</v>
      </c>
      <c r="AL161" s="318"/>
      <c r="AM161" s="318"/>
      <c r="AN161" s="318">
        <f>+VLOOKUP($G161,Laundr!$D$10:$K$195,8,FALSE)</f>
        <v>1040</v>
      </c>
      <c r="AO161" s="319"/>
      <c r="AP161" s="319"/>
    </row>
    <row r="162" spans="1:42" s="85" customFormat="1" ht="12">
      <c r="A162" s="84"/>
      <c r="B162" s="84"/>
      <c r="C162" s="84"/>
      <c r="D162" s="84"/>
      <c r="E162" s="313">
        <v>3.4</v>
      </c>
      <c r="F162" s="1119" t="s">
        <v>45</v>
      </c>
      <c r="G162" s="1120"/>
      <c r="H162" s="1121"/>
      <c r="I162" s="317"/>
      <c r="J162" s="318"/>
      <c r="K162" s="318"/>
      <c r="L162" s="318"/>
      <c r="M162" s="317"/>
      <c r="N162" s="318"/>
      <c r="O162" s="318"/>
      <c r="P162" s="318"/>
      <c r="Q162" s="317"/>
      <c r="R162" s="318"/>
      <c r="S162" s="318"/>
      <c r="T162" s="318"/>
      <c r="U162" s="317"/>
      <c r="V162" s="318"/>
      <c r="W162" s="318"/>
      <c r="X162" s="318"/>
      <c r="Y162" s="317"/>
      <c r="Z162" s="318"/>
      <c r="AA162" s="318"/>
      <c r="AB162" s="318"/>
      <c r="AC162" s="317"/>
      <c r="AD162" s="318"/>
      <c r="AE162" s="318"/>
      <c r="AF162" s="318"/>
      <c r="AG162" s="317"/>
      <c r="AH162" s="318"/>
      <c r="AI162" s="318"/>
      <c r="AJ162" s="318"/>
      <c r="AK162" s="317"/>
      <c r="AL162" s="318"/>
      <c r="AM162" s="318"/>
      <c r="AN162" s="318"/>
      <c r="AO162" s="319"/>
      <c r="AP162" s="319"/>
    </row>
    <row r="163" spans="1:42" s="71" customFormat="1" ht="12" outlineLevel="1">
      <c r="A163" s="82"/>
      <c r="B163" s="82"/>
      <c r="C163" s="82"/>
      <c r="D163" s="82"/>
      <c r="E163" s="1122" t="s">
        <v>5</v>
      </c>
      <c r="F163" s="1123"/>
      <c r="G163" s="1128" t="s">
        <v>52</v>
      </c>
      <c r="H163" s="1129"/>
      <c r="I163" s="317"/>
      <c r="J163" s="318"/>
      <c r="K163" s="318"/>
      <c r="L163" s="318"/>
      <c r="M163" s="317"/>
      <c r="N163" s="318"/>
      <c r="O163" s="318"/>
      <c r="P163" s="318"/>
      <c r="Q163" s="317"/>
      <c r="R163" s="318"/>
      <c r="S163" s="318"/>
      <c r="T163" s="318"/>
      <c r="U163" s="317"/>
      <c r="V163" s="318"/>
      <c r="W163" s="318"/>
      <c r="X163" s="318"/>
      <c r="Y163" s="317"/>
      <c r="Z163" s="318"/>
      <c r="AA163" s="318"/>
      <c r="AB163" s="318"/>
      <c r="AC163" s="317"/>
      <c r="AD163" s="318"/>
      <c r="AE163" s="318"/>
      <c r="AF163" s="318"/>
      <c r="AG163" s="317"/>
      <c r="AH163" s="318"/>
      <c r="AI163" s="318"/>
      <c r="AJ163" s="318"/>
      <c r="AK163" s="317"/>
      <c r="AL163" s="318"/>
      <c r="AM163" s="318"/>
      <c r="AN163" s="318"/>
      <c r="AO163" s="319"/>
      <c r="AP163" s="319"/>
    </row>
    <row r="164" spans="1:42" s="71" customFormat="1" ht="12" outlineLevel="1">
      <c r="A164" s="82"/>
      <c r="B164" s="82"/>
      <c r="C164" s="82"/>
      <c r="D164" s="82"/>
      <c r="E164" s="1124"/>
      <c r="F164" s="1125"/>
      <c r="G164" s="322" t="s">
        <v>469</v>
      </c>
      <c r="H164" s="320"/>
      <c r="I164" s="317" t="s">
        <v>88</v>
      </c>
      <c r="J164" s="318">
        <f>+VLOOKUP($G164,Supermarket!$D$175:$K$180,8,FALSE)</f>
        <v>0</v>
      </c>
      <c r="K164" s="318"/>
      <c r="L164" s="318"/>
      <c r="M164" s="317" t="s">
        <v>88</v>
      </c>
      <c r="N164" s="318">
        <f>+VLOOKUP($G164,PharmacyL!$D$10:$K$194,8,FALSE)</f>
        <v>0</v>
      </c>
      <c r="O164" s="318"/>
      <c r="P164" s="318"/>
      <c r="Q164" s="317" t="s">
        <v>88</v>
      </c>
      <c r="R164" s="318">
        <f>+VLOOKUP($G164,PharmacyS!$D$10:$K$195,8,FALSE)</f>
        <v>0</v>
      </c>
      <c r="S164" s="318"/>
      <c r="T164" s="318"/>
      <c r="U164" s="317" t="s">
        <v>88</v>
      </c>
      <c r="V164" s="318">
        <f>+VLOOKUP($G164,HealthCare!$D$10:$K$195,8,FALSE)</f>
        <v>0</v>
      </c>
      <c r="W164" s="318"/>
      <c r="X164" s="318"/>
      <c r="Y164" s="317" t="s">
        <v>88</v>
      </c>
      <c r="Z164" s="318">
        <f>+VLOOKUP($G164,Restaurant!$D$10:$K$194,8,FALSE)</f>
        <v>0</v>
      </c>
      <c r="AA164" s="318"/>
      <c r="AB164" s="318"/>
      <c r="AC164" s="317" t="s">
        <v>88</v>
      </c>
      <c r="AD164" s="318">
        <f>+VLOOKUP($G164,GenRetL!$D$10:$K$194,8,FALSE)</f>
        <v>0</v>
      </c>
      <c r="AE164" s="318"/>
      <c r="AF164" s="318"/>
      <c r="AG164" s="317" t="s">
        <v>88</v>
      </c>
      <c r="AH164" s="318">
        <f>+VLOOKUP($G164,GenRetS!$D$10:$K$195,8,FALSE)</f>
        <v>0</v>
      </c>
      <c r="AI164" s="318"/>
      <c r="AJ164" s="318"/>
      <c r="AK164" s="317" t="s">
        <v>88</v>
      </c>
      <c r="AL164" s="318">
        <f>+VLOOKUP($G164,Laundr!$D$10:$K$195,8,FALSE)</f>
        <v>0</v>
      </c>
      <c r="AM164" s="318"/>
      <c r="AN164" s="318"/>
      <c r="AO164" s="319"/>
      <c r="AP164" s="319"/>
    </row>
    <row r="165" spans="1:42" s="71" customFormat="1" ht="24" outlineLevel="1">
      <c r="A165" s="82"/>
      <c r="B165" s="82"/>
      <c r="C165" s="82"/>
      <c r="D165" s="82"/>
      <c r="E165" s="1124"/>
      <c r="F165" s="1125"/>
      <c r="G165" s="322" t="s">
        <v>470</v>
      </c>
      <c r="H165" s="320"/>
      <c r="I165" s="317" t="s">
        <v>158</v>
      </c>
      <c r="J165" s="318"/>
      <c r="K165" s="318">
        <f>+VLOOKUP($G165,Supermarket!$D$175:$K$180,8,FALSE)</f>
        <v>2500</v>
      </c>
      <c r="L165" s="318"/>
      <c r="M165" s="317" t="s">
        <v>88</v>
      </c>
      <c r="N165" s="318"/>
      <c r="O165" s="318">
        <f>+VLOOKUP($G165,PharmacyL!$D$10:$K$194,8,FALSE)</f>
        <v>0</v>
      </c>
      <c r="P165" s="318"/>
      <c r="Q165" s="317" t="s">
        <v>88</v>
      </c>
      <c r="R165" s="318"/>
      <c r="S165" s="318">
        <f>+VLOOKUP($G165,PharmacyS!$D$10:$K$195,8,FALSE)</f>
        <v>0</v>
      </c>
      <c r="T165" s="318"/>
      <c r="U165" s="317" t="s">
        <v>88</v>
      </c>
      <c r="V165" s="318"/>
      <c r="W165" s="318">
        <f>+VLOOKUP($G165,HealthCare!$D$10:$K$195,8,FALSE)</f>
        <v>0</v>
      </c>
      <c r="X165" s="318"/>
      <c r="Y165" s="317" t="s">
        <v>158</v>
      </c>
      <c r="Z165" s="318"/>
      <c r="AA165" s="318">
        <f>+VLOOKUP($G165,Restaurant!$D$10:$K$194,8,FALSE)</f>
        <v>2500</v>
      </c>
      <c r="AB165" s="318"/>
      <c r="AC165" s="317" t="s">
        <v>88</v>
      </c>
      <c r="AD165" s="318"/>
      <c r="AE165" s="318">
        <f>+VLOOKUP($G165,GenRetL!$D$10:$K$194,8,FALSE)</f>
        <v>0</v>
      </c>
      <c r="AF165" s="318"/>
      <c r="AG165" s="317" t="s">
        <v>88</v>
      </c>
      <c r="AH165" s="318"/>
      <c r="AI165" s="318">
        <f>+VLOOKUP($G165,GenRetS!$D$10:$K$195,8,FALSE)</f>
        <v>0</v>
      </c>
      <c r="AJ165" s="318"/>
      <c r="AK165" s="317" t="s">
        <v>88</v>
      </c>
      <c r="AL165" s="318"/>
      <c r="AM165" s="318">
        <f>+VLOOKUP($G165,Laundr!$D$10:$K$195,8,FALSE)</f>
        <v>0</v>
      </c>
      <c r="AN165" s="318"/>
      <c r="AO165" s="319"/>
      <c r="AP165" s="319"/>
    </row>
    <row r="166" spans="1:42" s="71" customFormat="1" ht="12" outlineLevel="1">
      <c r="A166" s="82"/>
      <c r="B166" s="82"/>
      <c r="C166" s="82"/>
      <c r="D166" s="82"/>
      <c r="E166" s="1126"/>
      <c r="F166" s="1127"/>
      <c r="G166" s="322" t="s">
        <v>471</v>
      </c>
      <c r="H166" s="320"/>
      <c r="I166" s="317" t="s">
        <v>88</v>
      </c>
      <c r="J166" s="318"/>
      <c r="K166" s="318"/>
      <c r="L166" s="318">
        <f>+VLOOKUP($G166,Supermarket!$D$175:$K$180,8,FALSE)</f>
        <v>0</v>
      </c>
      <c r="M166" s="317" t="s">
        <v>88</v>
      </c>
      <c r="N166" s="318"/>
      <c r="O166" s="318"/>
      <c r="P166" s="318">
        <f>+VLOOKUP($G166,PharmacyL!$D$10:$K$194,8,FALSE)</f>
        <v>0</v>
      </c>
      <c r="Q166" s="317" t="s">
        <v>88</v>
      </c>
      <c r="R166" s="318"/>
      <c r="S166" s="318"/>
      <c r="T166" s="318">
        <f>+VLOOKUP($G166,PharmacyS!$D$10:$K$195,8,FALSE)</f>
        <v>0</v>
      </c>
      <c r="U166" s="317" t="s">
        <v>88</v>
      </c>
      <c r="V166" s="318"/>
      <c r="W166" s="318"/>
      <c r="X166" s="318">
        <f>+VLOOKUP($G166,HealthCare!$D$10:$K$195,8,FALSE)</f>
        <v>0</v>
      </c>
      <c r="Y166" s="317" t="s">
        <v>88</v>
      </c>
      <c r="Z166" s="318"/>
      <c r="AA166" s="318"/>
      <c r="AB166" s="318">
        <f>+VLOOKUP($G166,Restaurant!$D$10:$K$194,8,FALSE)</f>
        <v>0</v>
      </c>
      <c r="AC166" s="317" t="s">
        <v>88</v>
      </c>
      <c r="AD166" s="318"/>
      <c r="AE166" s="318"/>
      <c r="AF166" s="318">
        <f>+VLOOKUP($G166,GenRetL!$D$10:$K$194,8,FALSE)</f>
        <v>0</v>
      </c>
      <c r="AG166" s="317" t="s">
        <v>88</v>
      </c>
      <c r="AH166" s="318"/>
      <c r="AI166" s="318"/>
      <c r="AJ166" s="318">
        <f>+VLOOKUP($G166,GenRetS!$D$10:$K$195,8,FALSE)</f>
        <v>0</v>
      </c>
      <c r="AK166" s="317" t="s">
        <v>88</v>
      </c>
      <c r="AL166" s="318"/>
      <c r="AM166" s="318"/>
      <c r="AN166" s="318">
        <f>+VLOOKUP($G166,Laundr!$D$10:$K$195,8,FALSE)</f>
        <v>0</v>
      </c>
      <c r="AO166" s="319"/>
      <c r="AP166" s="319"/>
    </row>
    <row r="167" spans="1:42" s="71" customFormat="1" ht="12" outlineLevel="1">
      <c r="A167" s="82"/>
      <c r="B167" s="82"/>
      <c r="C167" s="82"/>
      <c r="D167" s="82"/>
      <c r="E167" s="1122" t="s">
        <v>6</v>
      </c>
      <c r="F167" s="1123"/>
      <c r="G167" s="1128" t="s">
        <v>89</v>
      </c>
      <c r="H167" s="1129"/>
      <c r="I167" s="317"/>
      <c r="J167" s="318"/>
      <c r="K167" s="318"/>
      <c r="L167" s="318"/>
      <c r="M167" s="317"/>
      <c r="N167" s="318"/>
      <c r="O167" s="318"/>
      <c r="P167" s="318"/>
      <c r="Q167" s="317"/>
      <c r="R167" s="318"/>
      <c r="S167" s="318"/>
      <c r="T167" s="318"/>
      <c r="U167" s="317"/>
      <c r="V167" s="318"/>
      <c r="W167" s="318"/>
      <c r="X167" s="318"/>
      <c r="Y167" s="317"/>
      <c r="Z167" s="318"/>
      <c r="AA167" s="318"/>
      <c r="AB167" s="318"/>
      <c r="AC167" s="317"/>
      <c r="AD167" s="318"/>
      <c r="AE167" s="318"/>
      <c r="AF167" s="318"/>
      <c r="AG167" s="317"/>
      <c r="AH167" s="318"/>
      <c r="AI167" s="318"/>
      <c r="AJ167" s="318"/>
      <c r="AK167" s="317"/>
      <c r="AL167" s="318"/>
      <c r="AM167" s="318"/>
      <c r="AN167" s="318"/>
      <c r="AO167" s="319"/>
      <c r="AP167" s="319"/>
    </row>
    <row r="168" spans="1:42" s="71" customFormat="1" ht="12" outlineLevel="1">
      <c r="A168" s="82"/>
      <c r="B168" s="82"/>
      <c r="C168" s="82"/>
      <c r="D168" s="82"/>
      <c r="E168" s="1124"/>
      <c r="F168" s="1125"/>
      <c r="G168" s="322" t="s">
        <v>472</v>
      </c>
      <c r="H168" s="320"/>
      <c r="I168" s="317" t="s">
        <v>88</v>
      </c>
      <c r="J168" s="318">
        <f>+VLOOKUP($G168,Supermarket!$D$175:$K$180,8,FALSE)</f>
        <v>0</v>
      </c>
      <c r="K168" s="318"/>
      <c r="L168" s="318"/>
      <c r="M168" s="317" t="s">
        <v>88</v>
      </c>
      <c r="N168" s="318">
        <f>+VLOOKUP($G168,PharmacyL!$D$10:$K$194,8,FALSE)</f>
        <v>0</v>
      </c>
      <c r="O168" s="318"/>
      <c r="P168" s="318"/>
      <c r="Q168" s="317" t="s">
        <v>88</v>
      </c>
      <c r="R168" s="318">
        <f>+VLOOKUP($G168,PharmacyS!$D$10:$K$195,8,FALSE)</f>
        <v>0</v>
      </c>
      <c r="S168" s="318"/>
      <c r="T168" s="318"/>
      <c r="U168" s="317" t="s">
        <v>88</v>
      </c>
      <c r="V168" s="318">
        <f>+VLOOKUP($G168,HealthCare!$D$10:$K$195,8,FALSE)</f>
        <v>0</v>
      </c>
      <c r="W168" s="318"/>
      <c r="X168" s="318"/>
      <c r="Y168" s="317" t="s">
        <v>88</v>
      </c>
      <c r="Z168" s="318">
        <f>+VLOOKUP($G168,Restaurant!$D$10:$K$194,8,FALSE)</f>
        <v>0</v>
      </c>
      <c r="AA168" s="318"/>
      <c r="AB168" s="318"/>
      <c r="AC168" s="317" t="s">
        <v>88</v>
      </c>
      <c r="AD168" s="318">
        <f>+VLOOKUP($G168,GenRetL!$D$10:$K$194,8,FALSE)</f>
        <v>0</v>
      </c>
      <c r="AE168" s="318"/>
      <c r="AF168" s="318"/>
      <c r="AG168" s="317" t="s">
        <v>88</v>
      </c>
      <c r="AH168" s="318">
        <f>+VLOOKUP($G168,GenRetS!$D$10:$K$195,8,FALSE)</f>
        <v>0</v>
      </c>
      <c r="AI168" s="318"/>
      <c r="AJ168" s="318"/>
      <c r="AK168" s="317" t="s">
        <v>88</v>
      </c>
      <c r="AL168" s="318">
        <f>+VLOOKUP($G168,Laundr!$D$10:$K$195,8,FALSE)</f>
        <v>0</v>
      </c>
      <c r="AM168" s="318"/>
      <c r="AN168" s="318"/>
      <c r="AO168" s="319"/>
      <c r="AP168" s="319"/>
    </row>
    <row r="169" spans="1:42" s="71" customFormat="1" ht="12" outlineLevel="1">
      <c r="A169" s="82"/>
      <c r="B169" s="82"/>
      <c r="C169" s="82"/>
      <c r="D169" s="82"/>
      <c r="E169" s="1124"/>
      <c r="F169" s="1125"/>
      <c r="G169" s="322" t="s">
        <v>473</v>
      </c>
      <c r="H169" s="320"/>
      <c r="I169" s="317" t="s">
        <v>88</v>
      </c>
      <c r="J169" s="318"/>
      <c r="K169" s="318">
        <f>+VLOOKUP($G169,Supermarket!$D$175:$K$180,8,FALSE)</f>
        <v>0</v>
      </c>
      <c r="L169" s="318"/>
      <c r="M169" s="317" t="s">
        <v>88</v>
      </c>
      <c r="N169" s="318"/>
      <c r="O169" s="318">
        <f>+VLOOKUP($G169,PharmacyL!$D$10:$K$194,8,FALSE)</f>
        <v>0</v>
      </c>
      <c r="P169" s="318"/>
      <c r="Q169" s="317" t="s">
        <v>88</v>
      </c>
      <c r="R169" s="318"/>
      <c r="S169" s="318">
        <f>+VLOOKUP($G169,PharmacyS!$D$10:$K$195,8,FALSE)</f>
        <v>0</v>
      </c>
      <c r="T169" s="318"/>
      <c r="U169" s="317" t="s">
        <v>88</v>
      </c>
      <c r="V169" s="318"/>
      <c r="W169" s="318">
        <f>+VLOOKUP($G169,HealthCare!$D$10:$K$195,8,FALSE)</f>
        <v>0</v>
      </c>
      <c r="X169" s="318"/>
      <c r="Y169" s="317" t="s">
        <v>88</v>
      </c>
      <c r="Z169" s="318"/>
      <c r="AA169" s="318">
        <f>+VLOOKUP($G169,Restaurant!$D$10:$K$194,8,FALSE)</f>
        <v>0</v>
      </c>
      <c r="AB169" s="318"/>
      <c r="AC169" s="317" t="s">
        <v>88</v>
      </c>
      <c r="AD169" s="318"/>
      <c r="AE169" s="318">
        <f>+VLOOKUP($G169,GenRetL!$D$10:$K$194,8,FALSE)</f>
        <v>0</v>
      </c>
      <c r="AF169" s="318"/>
      <c r="AG169" s="317" t="s">
        <v>88</v>
      </c>
      <c r="AH169" s="318"/>
      <c r="AI169" s="318">
        <f>+VLOOKUP($G169,GenRetS!$D$10:$K$195,8,FALSE)</f>
        <v>0</v>
      </c>
      <c r="AJ169" s="318"/>
      <c r="AK169" s="317" t="s">
        <v>88</v>
      </c>
      <c r="AL169" s="318"/>
      <c r="AM169" s="318">
        <f>+VLOOKUP($G169,Laundr!$D$10:$K$195,8,FALSE)</f>
        <v>0</v>
      </c>
      <c r="AN169" s="318"/>
      <c r="AO169" s="319"/>
      <c r="AP169" s="319"/>
    </row>
    <row r="170" spans="1:42" s="71" customFormat="1" ht="36" outlineLevel="1">
      <c r="A170" s="82"/>
      <c r="B170" s="82"/>
      <c r="C170" s="82"/>
      <c r="D170" s="82"/>
      <c r="E170" s="1126"/>
      <c r="F170" s="1127"/>
      <c r="G170" s="322" t="s">
        <v>474</v>
      </c>
      <c r="H170" s="320"/>
      <c r="I170" s="317" t="s">
        <v>88</v>
      </c>
      <c r="J170" s="318"/>
      <c r="K170" s="318"/>
      <c r="L170" s="318">
        <f>+VLOOKUP($G170,Supermarket!$D$175:$K$180,8,FALSE)</f>
        <v>0</v>
      </c>
      <c r="M170" s="317" t="s">
        <v>88</v>
      </c>
      <c r="N170" s="318"/>
      <c r="O170" s="318"/>
      <c r="P170" s="318">
        <f>+VLOOKUP($G170,PharmacyL!$D$10:$K$194,8,FALSE)</f>
        <v>0</v>
      </c>
      <c r="Q170" s="317" t="s">
        <v>88</v>
      </c>
      <c r="R170" s="318"/>
      <c r="S170" s="318"/>
      <c r="T170" s="318">
        <f>+VLOOKUP($G170,PharmacyS!$D$10:$K$195,8,FALSE)</f>
        <v>0</v>
      </c>
      <c r="U170" s="317" t="s">
        <v>88</v>
      </c>
      <c r="V170" s="318"/>
      <c r="W170" s="318"/>
      <c r="X170" s="318">
        <f>+VLOOKUP($G170,HealthCare!$D$10:$K$195,8,FALSE)</f>
        <v>0</v>
      </c>
      <c r="Y170" s="317" t="s">
        <v>88</v>
      </c>
      <c r="Z170" s="318"/>
      <c r="AA170" s="318"/>
      <c r="AB170" s="318">
        <f>+VLOOKUP($G170,Restaurant!$D$10:$K$194,8,FALSE)</f>
        <v>0</v>
      </c>
      <c r="AC170" s="317" t="s">
        <v>88</v>
      </c>
      <c r="AD170" s="318"/>
      <c r="AE170" s="318"/>
      <c r="AF170" s="318">
        <f>+VLOOKUP($G170,GenRetL!$D$10:$K$194,8,FALSE)</f>
        <v>0</v>
      </c>
      <c r="AG170" s="317" t="s">
        <v>88</v>
      </c>
      <c r="AH170" s="318"/>
      <c r="AI170" s="318"/>
      <c r="AJ170" s="318">
        <f>+VLOOKUP($G170,GenRetS!$D$10:$K$195,8,FALSE)</f>
        <v>0</v>
      </c>
      <c r="AK170" s="317" t="s">
        <v>90</v>
      </c>
      <c r="AL170" s="318"/>
      <c r="AM170" s="318"/>
      <c r="AN170" s="318">
        <f>+VLOOKUP($G170,Laundr!$D$10:$K$195,8,FALSE)</f>
        <v>50000</v>
      </c>
      <c r="AO170" s="319"/>
      <c r="AP170" s="319"/>
    </row>
    <row r="171" spans="1:42" s="85" customFormat="1" ht="12">
      <c r="A171" s="84"/>
      <c r="B171" s="84"/>
      <c r="C171" s="84"/>
      <c r="D171" s="84"/>
      <c r="E171" s="313">
        <v>3.5</v>
      </c>
      <c r="F171" s="1119" t="s">
        <v>46</v>
      </c>
      <c r="G171" s="1120"/>
      <c r="H171" s="1121"/>
      <c r="I171" s="317"/>
      <c r="J171" s="318"/>
      <c r="K171" s="318"/>
      <c r="L171" s="318"/>
      <c r="M171" s="317"/>
      <c r="N171" s="318"/>
      <c r="O171" s="318"/>
      <c r="P171" s="318"/>
      <c r="Q171" s="317"/>
      <c r="R171" s="318"/>
      <c r="S171" s="318"/>
      <c r="T171" s="318"/>
      <c r="U171" s="317"/>
      <c r="V171" s="318"/>
      <c r="W171" s="318"/>
      <c r="X171" s="318"/>
      <c r="Y171" s="317"/>
      <c r="Z171" s="318"/>
      <c r="AA171" s="318"/>
      <c r="AB171" s="318"/>
      <c r="AC171" s="317"/>
      <c r="AD171" s="318"/>
      <c r="AE171" s="318"/>
      <c r="AF171" s="318"/>
      <c r="AG171" s="317"/>
      <c r="AH171" s="318"/>
      <c r="AI171" s="318"/>
      <c r="AJ171" s="318"/>
      <c r="AK171" s="317"/>
      <c r="AL171" s="318"/>
      <c r="AM171" s="318"/>
      <c r="AN171" s="318"/>
      <c r="AO171" s="319"/>
      <c r="AP171" s="319"/>
    </row>
    <row r="172" spans="1:42" s="71" customFormat="1" ht="24" outlineLevel="1">
      <c r="A172" s="82"/>
      <c r="B172" s="82"/>
      <c r="C172" s="82"/>
      <c r="D172" s="82"/>
      <c r="E172" s="1122" t="s">
        <v>5</v>
      </c>
      <c r="F172" s="1123"/>
      <c r="G172" s="1128" t="s">
        <v>55</v>
      </c>
      <c r="H172" s="1129"/>
      <c r="I172" s="317"/>
      <c r="J172" s="318"/>
      <c r="K172" s="318"/>
      <c r="L172" s="318"/>
      <c r="M172" s="317"/>
      <c r="N172" s="318"/>
      <c r="O172" s="318"/>
      <c r="P172" s="318"/>
      <c r="Q172" s="317"/>
      <c r="R172" s="318"/>
      <c r="S172" s="318"/>
      <c r="T172" s="318"/>
      <c r="U172" s="317"/>
      <c r="V172" s="318"/>
      <c r="W172" s="318"/>
      <c r="X172" s="318"/>
      <c r="Y172" s="317"/>
      <c r="Z172" s="318"/>
      <c r="AA172" s="318"/>
      <c r="AB172" s="318"/>
      <c r="AC172" s="317"/>
      <c r="AD172" s="318"/>
      <c r="AE172" s="318"/>
      <c r="AF172" s="318"/>
      <c r="AG172" s="317"/>
      <c r="AH172" s="318"/>
      <c r="AI172" s="318"/>
      <c r="AJ172" s="318"/>
      <c r="AK172" s="324"/>
      <c r="AL172" s="318"/>
      <c r="AM172" s="318"/>
      <c r="AN172" s="318"/>
      <c r="AO172" s="319"/>
      <c r="AP172" s="319" t="s">
        <v>138</v>
      </c>
    </row>
    <row r="173" spans="1:42" s="71" customFormat="1" ht="24" outlineLevel="1">
      <c r="A173" s="82"/>
      <c r="B173" s="82"/>
      <c r="C173" s="82"/>
      <c r="D173" s="82"/>
      <c r="E173" s="1124"/>
      <c r="F173" s="1125"/>
      <c r="G173" s="322" t="s">
        <v>475</v>
      </c>
      <c r="H173" s="320"/>
      <c r="I173" s="317" t="s">
        <v>91</v>
      </c>
      <c r="J173" s="318">
        <f>+VLOOKUP($G173,Supermarket!$D$182:$K$187,8,FALSE)</f>
        <v>5000</v>
      </c>
      <c r="K173" s="318"/>
      <c r="L173" s="318"/>
      <c r="M173" s="317" t="s">
        <v>88</v>
      </c>
      <c r="N173" s="318">
        <f>+VLOOKUP($G173,PharmacyL!$D$10:$K$194,8,FALSE)</f>
        <v>0</v>
      </c>
      <c r="O173" s="318"/>
      <c r="P173" s="318"/>
      <c r="Q173" s="317" t="s">
        <v>88</v>
      </c>
      <c r="R173" s="318">
        <f>+VLOOKUP($G173,PharmacyS!$D$10:$K$195,8,FALSE)</f>
        <v>0</v>
      </c>
      <c r="S173" s="318"/>
      <c r="T173" s="318"/>
      <c r="U173" s="317" t="s">
        <v>88</v>
      </c>
      <c r="V173" s="318">
        <f>+VLOOKUP($G173,HealthCare!$D$10:$K$195,8,FALSE)</f>
        <v>0</v>
      </c>
      <c r="W173" s="318">
        <f>+VLOOKUP($G173,HealthCare!$D$10:$K$195,8,FALSE)</f>
        <v>0</v>
      </c>
      <c r="X173" s="318"/>
      <c r="Y173" s="317" t="s">
        <v>91</v>
      </c>
      <c r="Z173" s="318">
        <f>+VLOOKUP($G173,Restaurant!$D$10:$K$194,8,FALSE)</f>
        <v>5000</v>
      </c>
      <c r="AA173" s="318"/>
      <c r="AB173" s="318"/>
      <c r="AC173" s="317" t="s">
        <v>88</v>
      </c>
      <c r="AD173" s="318">
        <f>+VLOOKUP($G173,GenRetL!$D$10:$K$194,8,FALSE)</f>
        <v>0</v>
      </c>
      <c r="AE173" s="318"/>
      <c r="AF173" s="318"/>
      <c r="AG173" s="317" t="s">
        <v>88</v>
      </c>
      <c r="AH173" s="318">
        <f>+VLOOKUP($G173,GenRetS!$D$10:$K$195,8,FALSE)</f>
        <v>0</v>
      </c>
      <c r="AI173" s="318"/>
      <c r="AJ173" s="318"/>
      <c r="AK173" s="317" t="s">
        <v>137</v>
      </c>
      <c r="AL173" s="318">
        <f>+VLOOKUP($G173,Laundr!$D$10:$K$195,8,FALSE)</f>
        <v>5000</v>
      </c>
      <c r="AM173" s="318"/>
      <c r="AN173" s="318"/>
      <c r="AO173" s="319"/>
      <c r="AP173" s="319"/>
    </row>
    <row r="174" spans="1:42" s="71" customFormat="1" ht="12" outlineLevel="1">
      <c r="A174" s="82"/>
      <c r="B174" s="82"/>
      <c r="C174" s="82"/>
      <c r="D174" s="82"/>
      <c r="E174" s="1124"/>
      <c r="F174" s="1125"/>
      <c r="G174" s="322" t="s">
        <v>476</v>
      </c>
      <c r="H174" s="320"/>
      <c r="I174" s="317" t="s">
        <v>88</v>
      </c>
      <c r="J174" s="318"/>
      <c r="K174" s="318">
        <f>+VLOOKUP($G174,Supermarket!$D$182:$K$187,8,FALSE)</f>
        <v>0</v>
      </c>
      <c r="L174" s="318"/>
      <c r="M174" s="317" t="s">
        <v>88</v>
      </c>
      <c r="N174" s="318"/>
      <c r="O174" s="318">
        <f>+VLOOKUP($G174,PharmacyL!$D$10:$K$194,8,FALSE)</f>
        <v>0</v>
      </c>
      <c r="P174" s="318"/>
      <c r="Q174" s="317" t="s">
        <v>88</v>
      </c>
      <c r="R174" s="318"/>
      <c r="S174" s="318">
        <f>+VLOOKUP($G174,PharmacyS!$D$10:$K$195,8,FALSE)</f>
        <v>0</v>
      </c>
      <c r="T174" s="318"/>
      <c r="U174" s="317" t="s">
        <v>88</v>
      </c>
      <c r="V174" s="318"/>
      <c r="W174" s="318">
        <f>+VLOOKUP($G174,HealthCare!$D$10:$K$195,8,FALSE)</f>
        <v>0</v>
      </c>
      <c r="X174" s="318"/>
      <c r="Y174" s="317" t="s">
        <v>88</v>
      </c>
      <c r="Z174" s="318"/>
      <c r="AA174" s="318">
        <f>+VLOOKUP($G174,Restaurant!$D$10:$K$194,8,FALSE)</f>
        <v>0</v>
      </c>
      <c r="AB174" s="318"/>
      <c r="AC174" s="317" t="s">
        <v>88</v>
      </c>
      <c r="AD174" s="318"/>
      <c r="AE174" s="318">
        <f>+VLOOKUP($G174,GenRetL!$D$10:$K$194,8,FALSE)</f>
        <v>0</v>
      </c>
      <c r="AF174" s="318"/>
      <c r="AG174" s="317" t="s">
        <v>88</v>
      </c>
      <c r="AH174" s="318"/>
      <c r="AI174" s="318">
        <f>+VLOOKUP($G174,GenRetS!$D$10:$K$195,8,FALSE)</f>
        <v>0</v>
      </c>
      <c r="AJ174" s="318"/>
      <c r="AK174" s="317" t="s">
        <v>88</v>
      </c>
      <c r="AL174" s="318"/>
      <c r="AM174" s="318">
        <f>+VLOOKUP($G174,Laundr!$D$10:$K$195,8,FALSE)</f>
        <v>0</v>
      </c>
      <c r="AN174" s="318"/>
      <c r="AO174" s="319"/>
      <c r="AP174" s="319"/>
    </row>
    <row r="175" spans="1:42" s="71" customFormat="1" ht="12" outlineLevel="1">
      <c r="A175" s="82"/>
      <c r="B175" s="82"/>
      <c r="C175" s="82"/>
      <c r="D175" s="82"/>
      <c r="E175" s="1126"/>
      <c r="F175" s="1127"/>
      <c r="G175" s="322" t="s">
        <v>477</v>
      </c>
      <c r="H175" s="320"/>
      <c r="I175" s="317" t="s">
        <v>207</v>
      </c>
      <c r="J175" s="318"/>
      <c r="K175" s="318"/>
      <c r="L175" s="318">
        <f>+VLOOKUP($G175,Supermarket!$D$182:$K$187,8,FALSE)</f>
        <v>11000</v>
      </c>
      <c r="M175" s="317" t="s">
        <v>88</v>
      </c>
      <c r="N175" s="318"/>
      <c r="O175" s="318"/>
      <c r="P175" s="318">
        <f>+VLOOKUP($G175,PharmacyL!$D$10:$K$194,8,FALSE)</f>
        <v>0</v>
      </c>
      <c r="Q175" s="317" t="s">
        <v>88</v>
      </c>
      <c r="R175" s="318"/>
      <c r="S175" s="318"/>
      <c r="T175" s="318">
        <f>+VLOOKUP($G175,PharmacyS!$D$10:$K$195,8,FALSE)</f>
        <v>0</v>
      </c>
      <c r="U175" s="317" t="s">
        <v>88</v>
      </c>
      <c r="V175" s="318"/>
      <c r="W175" s="318"/>
      <c r="X175" s="318">
        <f>+VLOOKUP($G175,HealthCare!$D$10:$K$195,8,FALSE)</f>
        <v>0</v>
      </c>
      <c r="Y175" s="317" t="s">
        <v>207</v>
      </c>
      <c r="Z175" s="318"/>
      <c r="AA175" s="318"/>
      <c r="AB175" s="318">
        <f>+VLOOKUP($G175,Restaurant!$D$10:$K$194,8,FALSE)</f>
        <v>11000</v>
      </c>
      <c r="AC175" s="317" t="s">
        <v>88</v>
      </c>
      <c r="AD175" s="318"/>
      <c r="AE175" s="318"/>
      <c r="AF175" s="318">
        <f>+VLOOKUP($G175,GenRetL!$D$10:$K$194,8,FALSE)</f>
        <v>0</v>
      </c>
      <c r="AG175" s="317" t="s">
        <v>88</v>
      </c>
      <c r="AH175" s="318"/>
      <c r="AI175" s="318"/>
      <c r="AJ175" s="318">
        <f>+VLOOKUP($G175,GenRetS!$D$10:$K$195,8,FALSE)</f>
        <v>0</v>
      </c>
      <c r="AK175" s="317" t="s">
        <v>207</v>
      </c>
      <c r="AL175" s="318"/>
      <c r="AM175" s="318"/>
      <c r="AN175" s="318">
        <f>+VLOOKUP($G175,Laundr!$D$10:$K$195,8,FALSE)</f>
        <v>11000</v>
      </c>
      <c r="AO175" s="319"/>
      <c r="AP175" s="319"/>
    </row>
    <row r="176" spans="1:42" s="71" customFormat="1" ht="12" outlineLevel="1">
      <c r="A176" s="82"/>
      <c r="B176" s="82"/>
      <c r="C176" s="82"/>
      <c r="D176" s="82"/>
      <c r="E176" s="1122" t="s">
        <v>6</v>
      </c>
      <c r="F176" s="1123"/>
      <c r="G176" s="1128" t="s">
        <v>56</v>
      </c>
      <c r="H176" s="1129"/>
      <c r="I176" s="317"/>
      <c r="J176" s="318"/>
      <c r="K176" s="318"/>
      <c r="L176" s="318"/>
      <c r="M176" s="317"/>
      <c r="N176" s="318"/>
      <c r="O176" s="318"/>
      <c r="P176" s="318"/>
      <c r="Q176" s="317"/>
      <c r="R176" s="318"/>
      <c r="S176" s="318"/>
      <c r="T176" s="318"/>
      <c r="U176" s="317"/>
      <c r="V176" s="318"/>
      <c r="W176" s="318"/>
      <c r="X176" s="318"/>
      <c r="Y176" s="317"/>
      <c r="Z176" s="318"/>
      <c r="AA176" s="318"/>
      <c r="AB176" s="318"/>
      <c r="AC176" s="317"/>
      <c r="AD176" s="318"/>
      <c r="AE176" s="318"/>
      <c r="AF176" s="318"/>
      <c r="AG176" s="317"/>
      <c r="AH176" s="318"/>
      <c r="AI176" s="318"/>
      <c r="AJ176" s="318"/>
      <c r="AK176" s="317"/>
      <c r="AL176" s="318"/>
      <c r="AM176" s="318"/>
      <c r="AN176" s="318"/>
      <c r="AO176" s="319"/>
      <c r="AP176" s="319"/>
    </row>
    <row r="177" spans="1:42" s="71" customFormat="1" ht="12" outlineLevel="1">
      <c r="A177" s="82"/>
      <c r="B177" s="82"/>
      <c r="C177" s="82"/>
      <c r="D177" s="82"/>
      <c r="E177" s="1124"/>
      <c r="F177" s="1125"/>
      <c r="G177" s="322" t="s">
        <v>478</v>
      </c>
      <c r="H177" s="320"/>
      <c r="I177" s="317" t="s">
        <v>92</v>
      </c>
      <c r="J177" s="318">
        <f>+VLOOKUP($G177,Supermarket!$D$182:$K$187,8,FALSE)</f>
        <v>11000</v>
      </c>
      <c r="K177" s="318"/>
      <c r="L177" s="318"/>
      <c r="M177" s="317" t="s">
        <v>88</v>
      </c>
      <c r="N177" s="318">
        <f>+VLOOKUP($G177,PharmacyL!$D$10:$K$194,8,FALSE)</f>
        <v>0</v>
      </c>
      <c r="O177" s="318"/>
      <c r="P177" s="318"/>
      <c r="Q177" s="317" t="s">
        <v>88</v>
      </c>
      <c r="R177" s="318">
        <f>+VLOOKUP($G177,PharmacyS!$D$10:$K$195,8,FALSE)</f>
        <v>0</v>
      </c>
      <c r="S177" s="318"/>
      <c r="T177" s="318"/>
      <c r="U177" s="317" t="s">
        <v>88</v>
      </c>
      <c r="V177" s="318">
        <f>+VLOOKUP($G177,HealthCare!$D$10:$K$195,8,FALSE)</f>
        <v>0</v>
      </c>
      <c r="W177" s="318"/>
      <c r="X177" s="318"/>
      <c r="Y177" s="317" t="s">
        <v>92</v>
      </c>
      <c r="Z177" s="318">
        <f>+VLOOKUP($G177,Restaurant!$D$10:$K$194,8,FALSE)</f>
        <v>11000</v>
      </c>
      <c r="AA177" s="318"/>
      <c r="AB177" s="318"/>
      <c r="AC177" s="317" t="s">
        <v>88</v>
      </c>
      <c r="AD177" s="318">
        <f>+VLOOKUP($G177,GenRetL!$D$10:$K$194,8,FALSE)</f>
        <v>0</v>
      </c>
      <c r="AE177" s="318"/>
      <c r="AF177" s="318"/>
      <c r="AG177" s="317" t="s">
        <v>88</v>
      </c>
      <c r="AH177" s="318">
        <f>+VLOOKUP($G177,GenRetS!$D$10:$K$195,8,FALSE)</f>
        <v>0</v>
      </c>
      <c r="AI177" s="318"/>
      <c r="AJ177" s="318"/>
      <c r="AK177" s="317" t="s">
        <v>92</v>
      </c>
      <c r="AL177" s="318">
        <f>+VLOOKUP($G177,Laundr!$D$10:$K$195,8,FALSE)</f>
        <v>11000</v>
      </c>
      <c r="AM177" s="318"/>
      <c r="AN177" s="318"/>
      <c r="AO177" s="319"/>
      <c r="AP177" s="319"/>
    </row>
    <row r="178" spans="1:42" s="71" customFormat="1" ht="12" outlineLevel="1">
      <c r="A178" s="82"/>
      <c r="B178" s="82"/>
      <c r="C178" s="82"/>
      <c r="D178" s="82"/>
      <c r="E178" s="1124"/>
      <c r="F178" s="1125"/>
      <c r="G178" s="322" t="s">
        <v>479</v>
      </c>
      <c r="H178" s="320"/>
      <c r="I178" s="317" t="s">
        <v>88</v>
      </c>
      <c r="J178" s="318"/>
      <c r="K178" s="318">
        <f>+VLOOKUP($G178,Supermarket!$D$182:$K$187,8,FALSE)</f>
        <v>0</v>
      </c>
      <c r="L178" s="318"/>
      <c r="M178" s="317" t="s">
        <v>88</v>
      </c>
      <c r="N178" s="318"/>
      <c r="O178" s="318">
        <f>+VLOOKUP($G178,PharmacyL!$D$10:$K$194,8,FALSE)</f>
        <v>0</v>
      </c>
      <c r="P178" s="318"/>
      <c r="Q178" s="317" t="s">
        <v>88</v>
      </c>
      <c r="R178" s="318"/>
      <c r="S178" s="318">
        <f>+VLOOKUP($G178,PharmacyS!$D$10:$K$195,8,FALSE)</f>
        <v>0</v>
      </c>
      <c r="T178" s="318"/>
      <c r="U178" s="317" t="s">
        <v>88</v>
      </c>
      <c r="V178" s="318"/>
      <c r="W178" s="318">
        <f>+VLOOKUP($G178,HealthCare!$D$10:$K$195,8,FALSE)</f>
        <v>0</v>
      </c>
      <c r="X178" s="318"/>
      <c r="Y178" s="317" t="s">
        <v>88</v>
      </c>
      <c r="Z178" s="318"/>
      <c r="AA178" s="318">
        <f>+VLOOKUP($G178,Restaurant!$D$10:$K$194,8,FALSE)</f>
        <v>0</v>
      </c>
      <c r="AB178" s="318"/>
      <c r="AC178" s="317" t="s">
        <v>88</v>
      </c>
      <c r="AD178" s="318"/>
      <c r="AE178" s="318">
        <f>+VLOOKUP($G178,GenRetL!$D$10:$K$194,8,FALSE)</f>
        <v>0</v>
      </c>
      <c r="AF178" s="318"/>
      <c r="AG178" s="317" t="s">
        <v>88</v>
      </c>
      <c r="AH178" s="318"/>
      <c r="AI178" s="318">
        <f>+VLOOKUP($G178,GenRetS!$D$10:$K$195,8,FALSE)</f>
        <v>0</v>
      </c>
      <c r="AJ178" s="318"/>
      <c r="AK178" s="317" t="s">
        <v>88</v>
      </c>
      <c r="AL178" s="318"/>
      <c r="AM178" s="318">
        <f>+VLOOKUP($G178,Laundr!$D$10:$K$195,8,FALSE)</f>
        <v>0</v>
      </c>
      <c r="AN178" s="318"/>
      <c r="AO178" s="319"/>
      <c r="AP178" s="319"/>
    </row>
    <row r="179" spans="1:42" s="71" customFormat="1" ht="12" outlineLevel="1">
      <c r="A179" s="82"/>
      <c r="B179" s="82"/>
      <c r="C179" s="82"/>
      <c r="D179" s="82"/>
      <c r="E179" s="1126"/>
      <c r="F179" s="1127"/>
      <c r="G179" s="322" t="s">
        <v>480</v>
      </c>
      <c r="H179" s="320"/>
      <c r="I179" s="317" t="s">
        <v>88</v>
      </c>
      <c r="J179" s="318"/>
      <c r="K179" s="318"/>
      <c r="L179" s="318">
        <f>+VLOOKUP($G179,Supermarket!$D$182:$K$187,8,FALSE)</f>
        <v>0</v>
      </c>
      <c r="M179" s="317" t="s">
        <v>88</v>
      </c>
      <c r="N179" s="318"/>
      <c r="O179" s="318"/>
      <c r="P179" s="318">
        <f>+VLOOKUP($G179,PharmacyL!$D$10:$K$194,8,FALSE)</f>
        <v>0</v>
      </c>
      <c r="Q179" s="317" t="s">
        <v>88</v>
      </c>
      <c r="R179" s="318"/>
      <c r="S179" s="318"/>
      <c r="T179" s="318">
        <f>+VLOOKUP($G179,PharmacyS!$D$10:$K$195,8,FALSE)</f>
        <v>0</v>
      </c>
      <c r="U179" s="317" t="s">
        <v>88</v>
      </c>
      <c r="V179" s="318"/>
      <c r="W179" s="318"/>
      <c r="X179" s="318">
        <f>+VLOOKUP($G179,HealthCare!$D$10:$K$195,8,FALSE)</f>
        <v>0</v>
      </c>
      <c r="Y179" s="317" t="s">
        <v>88</v>
      </c>
      <c r="Z179" s="318"/>
      <c r="AA179" s="318"/>
      <c r="AB179" s="318">
        <f>+VLOOKUP($G179,Restaurant!$D$10:$K$194,8,FALSE)</f>
        <v>0</v>
      </c>
      <c r="AC179" s="317" t="s">
        <v>88</v>
      </c>
      <c r="AD179" s="318"/>
      <c r="AE179" s="318"/>
      <c r="AF179" s="318">
        <f>+VLOOKUP($G179,GenRetL!$D$10:$K$194,8,FALSE)</f>
        <v>0</v>
      </c>
      <c r="AG179" s="317" t="s">
        <v>88</v>
      </c>
      <c r="AH179" s="318"/>
      <c r="AI179" s="318"/>
      <c r="AJ179" s="318">
        <f>+VLOOKUP($G179,GenRetS!$D$10:$K$195,8,FALSE)</f>
        <v>0</v>
      </c>
      <c r="AK179" s="317" t="s">
        <v>88</v>
      </c>
      <c r="AL179" s="318"/>
      <c r="AM179" s="318"/>
      <c r="AN179" s="318">
        <f>+VLOOKUP($G179,Laundr!$D$10:$K$195,8,FALSE)</f>
        <v>0</v>
      </c>
      <c r="AO179" s="319"/>
      <c r="AP179" s="319"/>
    </row>
    <row r="180" spans="1:42" s="85" customFormat="1" ht="12">
      <c r="A180" s="84"/>
      <c r="B180" s="84"/>
      <c r="C180" s="84"/>
      <c r="D180" s="84"/>
      <c r="E180" s="1061" t="s">
        <v>54</v>
      </c>
      <c r="F180" s="1062"/>
      <c r="G180" s="1062"/>
      <c r="H180" s="1063"/>
      <c r="I180" s="317"/>
      <c r="J180" s="318"/>
      <c r="K180" s="318"/>
      <c r="L180" s="318"/>
      <c r="M180" s="317"/>
      <c r="N180" s="318"/>
      <c r="O180" s="318"/>
      <c r="P180" s="318"/>
      <c r="Q180" s="317"/>
      <c r="R180" s="318"/>
      <c r="S180" s="318"/>
      <c r="T180" s="318"/>
      <c r="U180" s="317"/>
      <c r="V180" s="318"/>
      <c r="W180" s="318"/>
      <c r="X180" s="318"/>
      <c r="Y180" s="317"/>
      <c r="Z180" s="318"/>
      <c r="AA180" s="318"/>
      <c r="AB180" s="318"/>
      <c r="AC180" s="317"/>
      <c r="AD180" s="318"/>
      <c r="AE180" s="318"/>
      <c r="AF180" s="318"/>
      <c r="AG180" s="317"/>
      <c r="AH180" s="318"/>
      <c r="AI180" s="318"/>
      <c r="AJ180" s="318"/>
      <c r="AK180" s="317"/>
      <c r="AL180" s="318"/>
      <c r="AM180" s="318"/>
      <c r="AN180" s="318"/>
      <c r="AO180" s="319"/>
      <c r="AP180" s="319"/>
    </row>
    <row r="181" spans="1:42" s="85" customFormat="1" ht="12">
      <c r="A181" s="84"/>
      <c r="B181" s="84"/>
      <c r="C181" s="84"/>
      <c r="D181" s="84"/>
      <c r="E181" s="313">
        <v>3.6</v>
      </c>
      <c r="F181" s="1119" t="s">
        <v>47</v>
      </c>
      <c r="G181" s="1120"/>
      <c r="H181" s="1121"/>
      <c r="I181" s="317"/>
      <c r="J181" s="318"/>
      <c r="K181" s="318"/>
      <c r="L181" s="318"/>
      <c r="M181" s="317"/>
      <c r="N181" s="318"/>
      <c r="O181" s="318"/>
      <c r="P181" s="318"/>
      <c r="Q181" s="317"/>
      <c r="R181" s="318"/>
      <c r="S181" s="318"/>
      <c r="T181" s="318"/>
      <c r="U181" s="317"/>
      <c r="V181" s="318"/>
      <c r="W181" s="318"/>
      <c r="X181" s="318"/>
      <c r="Y181" s="317"/>
      <c r="Z181" s="318"/>
      <c r="AA181" s="318"/>
      <c r="AB181" s="318"/>
      <c r="AC181" s="317"/>
      <c r="AD181" s="318"/>
      <c r="AE181" s="318"/>
      <c r="AF181" s="318"/>
      <c r="AG181" s="317"/>
      <c r="AH181" s="318"/>
      <c r="AI181" s="318"/>
      <c r="AJ181" s="318"/>
      <c r="AK181" s="317"/>
      <c r="AL181" s="318"/>
      <c r="AM181" s="318"/>
      <c r="AN181" s="318"/>
      <c r="AO181" s="319"/>
      <c r="AP181" s="319"/>
    </row>
    <row r="182" spans="1:42" s="71" customFormat="1" ht="12" outlineLevel="1">
      <c r="A182" s="82"/>
      <c r="B182" s="82"/>
      <c r="C182" s="82"/>
      <c r="D182" s="82"/>
      <c r="E182" s="1122" t="s">
        <v>5</v>
      </c>
      <c r="F182" s="1123"/>
      <c r="G182" s="1128" t="s">
        <v>57</v>
      </c>
      <c r="H182" s="1129"/>
      <c r="I182" s="325"/>
      <c r="J182" s="326"/>
      <c r="K182" s="326"/>
      <c r="L182" s="326"/>
      <c r="M182" s="325"/>
      <c r="N182" s="326"/>
      <c r="O182" s="326"/>
      <c r="P182" s="326"/>
      <c r="Q182" s="325"/>
      <c r="R182" s="326"/>
      <c r="S182" s="326"/>
      <c r="T182" s="326"/>
      <c r="U182" s="325"/>
      <c r="V182" s="326"/>
      <c r="W182" s="326"/>
      <c r="X182" s="326"/>
      <c r="Y182" s="325"/>
      <c r="Z182" s="326"/>
      <c r="AA182" s="326"/>
      <c r="AB182" s="326"/>
      <c r="AC182" s="325"/>
      <c r="AD182" s="326"/>
      <c r="AE182" s="326"/>
      <c r="AF182" s="326"/>
      <c r="AG182" s="325"/>
      <c r="AH182" s="326"/>
      <c r="AI182" s="326"/>
      <c r="AJ182" s="326"/>
      <c r="AK182" s="325"/>
      <c r="AL182" s="326"/>
      <c r="AM182" s="326"/>
      <c r="AN182" s="326"/>
      <c r="AO182" s="319"/>
      <c r="AP182" s="319"/>
    </row>
    <row r="183" spans="1:42" s="71" customFormat="1" ht="48" outlineLevel="1">
      <c r="A183" s="82"/>
      <c r="B183" s="82"/>
      <c r="C183" s="82"/>
      <c r="D183" s="82"/>
      <c r="E183" s="1124"/>
      <c r="F183" s="1125"/>
      <c r="G183" s="322" t="s">
        <v>481</v>
      </c>
      <c r="H183" s="320"/>
      <c r="I183" s="325" t="s">
        <v>87</v>
      </c>
      <c r="J183" s="318">
        <f>+VLOOKUP($G183,Supermarket!$D$190:$K$193,8,FALSE)</f>
        <v>122600</v>
      </c>
      <c r="K183" s="318"/>
      <c r="L183" s="318"/>
      <c r="M183" s="325" t="s">
        <v>87</v>
      </c>
      <c r="N183" s="318">
        <f>+VLOOKUP($G183,PharmacyL!$D$10:$K$194,8,FALSE)</f>
        <v>122600</v>
      </c>
      <c r="O183" s="318"/>
      <c r="P183" s="318"/>
      <c r="Q183" s="325" t="s">
        <v>87</v>
      </c>
      <c r="R183" s="318">
        <f>+VLOOKUP($G183,PharmacyS!$D$10:$K$195,8,FALSE)</f>
        <v>62600</v>
      </c>
      <c r="S183" s="318"/>
      <c r="T183" s="318"/>
      <c r="U183" s="325" t="s">
        <v>87</v>
      </c>
      <c r="V183" s="318">
        <f>+VLOOKUP($G183,HealthCare!$D$10:$K$195,8,FALSE)</f>
        <v>42600</v>
      </c>
      <c r="W183" s="318"/>
      <c r="X183" s="318"/>
      <c r="Y183" s="325" t="s">
        <v>87</v>
      </c>
      <c r="Z183" s="318">
        <f>+VLOOKUP($G183,Restaurant!$D$10:$K$194,8,FALSE)</f>
        <v>42600</v>
      </c>
      <c r="AA183" s="318"/>
      <c r="AB183" s="318"/>
      <c r="AC183" s="325" t="s">
        <v>87</v>
      </c>
      <c r="AD183" s="318">
        <f>+VLOOKUP($G183,GenRetL!$D$10:$K$194,8,FALSE)</f>
        <v>42600</v>
      </c>
      <c r="AE183" s="318"/>
      <c r="AF183" s="318"/>
      <c r="AG183" s="325" t="s">
        <v>87</v>
      </c>
      <c r="AH183" s="318">
        <f>+VLOOKUP($G183,GenRetS!$D$10:$K$195,8,FALSE)</f>
        <v>22600</v>
      </c>
      <c r="AI183" s="318"/>
      <c r="AJ183" s="318"/>
      <c r="AK183" s="325" t="s">
        <v>87</v>
      </c>
      <c r="AL183" s="318">
        <f>+VLOOKUP($G183,Laundr!$D$10:$K$195,8,FALSE)</f>
        <v>22600</v>
      </c>
      <c r="AM183" s="318"/>
      <c r="AN183" s="318"/>
      <c r="AO183" s="319"/>
      <c r="AP183" s="319"/>
    </row>
    <row r="184" spans="1:42" s="71" customFormat="1" ht="12" outlineLevel="1">
      <c r="A184" s="82"/>
      <c r="B184" s="82"/>
      <c r="C184" s="82"/>
      <c r="D184" s="82"/>
      <c r="E184" s="1124"/>
      <c r="F184" s="1125"/>
      <c r="G184" s="322" t="s">
        <v>482</v>
      </c>
      <c r="H184" s="320"/>
      <c r="I184" s="317" t="s">
        <v>88</v>
      </c>
      <c r="J184" s="318"/>
      <c r="K184" s="318">
        <f>+VLOOKUP($G184,Supermarket!$D$190:$K$193,8,FALSE)</f>
        <v>0</v>
      </c>
      <c r="L184" s="318"/>
      <c r="M184" s="317" t="s">
        <v>88</v>
      </c>
      <c r="N184" s="318"/>
      <c r="O184" s="318">
        <f>+VLOOKUP($G184,PharmacyL!$D$10:$K$194,8,FALSE)</f>
        <v>0</v>
      </c>
      <c r="P184" s="318"/>
      <c r="Q184" s="317" t="s">
        <v>88</v>
      </c>
      <c r="R184" s="318"/>
      <c r="S184" s="318">
        <f>+VLOOKUP($G184,PharmacyS!$D$10:$K$195,8,FALSE)</f>
        <v>0</v>
      </c>
      <c r="T184" s="318"/>
      <c r="U184" s="317" t="s">
        <v>88</v>
      </c>
      <c r="V184" s="318"/>
      <c r="W184" s="318">
        <f>+VLOOKUP($G184,HealthCare!$D$10:$K$195,8,FALSE)</f>
        <v>0</v>
      </c>
      <c r="X184" s="318"/>
      <c r="Y184" s="317" t="s">
        <v>88</v>
      </c>
      <c r="Z184" s="318"/>
      <c r="AA184" s="318">
        <f>+VLOOKUP($G184,Restaurant!$D$10:$K$194,8,FALSE)</f>
        <v>0</v>
      </c>
      <c r="AB184" s="318"/>
      <c r="AC184" s="317" t="s">
        <v>88</v>
      </c>
      <c r="AD184" s="318"/>
      <c r="AE184" s="318">
        <f>+VLOOKUP($G184,GenRetL!$D$10:$K$194,8,FALSE)</f>
        <v>0</v>
      </c>
      <c r="AF184" s="318"/>
      <c r="AG184" s="317" t="s">
        <v>88</v>
      </c>
      <c r="AH184" s="318"/>
      <c r="AI184" s="318">
        <f>+VLOOKUP($G184,GenRetS!$D$10:$K$195,8,FALSE)</f>
        <v>0</v>
      </c>
      <c r="AJ184" s="318"/>
      <c r="AK184" s="317" t="s">
        <v>88</v>
      </c>
      <c r="AL184" s="318"/>
      <c r="AM184" s="318">
        <f>+VLOOKUP($G184,Laundr!$D$10:$K$195,8,FALSE)</f>
        <v>0</v>
      </c>
      <c r="AN184" s="318"/>
      <c r="AO184" s="319"/>
      <c r="AP184" s="319"/>
    </row>
    <row r="185" spans="1:42" s="71" customFormat="1" ht="12" outlineLevel="1">
      <c r="A185" s="82"/>
      <c r="B185" s="82"/>
      <c r="C185" s="82"/>
      <c r="D185" s="82"/>
      <c r="E185" s="1126"/>
      <c r="F185" s="1127"/>
      <c r="G185" s="322" t="s">
        <v>483</v>
      </c>
      <c r="H185" s="320"/>
      <c r="I185" s="317" t="s">
        <v>88</v>
      </c>
      <c r="J185" s="318"/>
      <c r="K185" s="318"/>
      <c r="L185" s="318">
        <f>+VLOOKUP($G185,Supermarket!$D$190:$K$193,8,FALSE)</f>
        <v>0</v>
      </c>
      <c r="M185" s="317" t="s">
        <v>88</v>
      </c>
      <c r="N185" s="318"/>
      <c r="O185" s="318"/>
      <c r="P185" s="318">
        <f>+VLOOKUP($G185,PharmacyL!$D$10:$K$194,8,FALSE)</f>
        <v>0</v>
      </c>
      <c r="Q185" s="317" t="s">
        <v>88</v>
      </c>
      <c r="R185" s="318"/>
      <c r="S185" s="318"/>
      <c r="T185" s="318">
        <f>+VLOOKUP($G185,PharmacyS!$D$10:$K$195,8,FALSE)</f>
        <v>0</v>
      </c>
      <c r="U185" s="317" t="s">
        <v>88</v>
      </c>
      <c r="V185" s="318"/>
      <c r="W185" s="318"/>
      <c r="X185" s="318">
        <f>+VLOOKUP($G185,HealthCare!$D$10:$K$195,8,FALSE)</f>
        <v>0</v>
      </c>
      <c r="Y185" s="317" t="s">
        <v>88</v>
      </c>
      <c r="Z185" s="318"/>
      <c r="AA185" s="318"/>
      <c r="AB185" s="318">
        <f>+VLOOKUP($G185,Restaurant!$D$10:$K$194,8,FALSE)</f>
        <v>0</v>
      </c>
      <c r="AC185" s="317" t="s">
        <v>88</v>
      </c>
      <c r="AD185" s="318"/>
      <c r="AE185" s="318"/>
      <c r="AF185" s="318">
        <f>+VLOOKUP($G185,GenRetL!$D$10:$K$194,8,FALSE)</f>
        <v>0</v>
      </c>
      <c r="AG185" s="317" t="s">
        <v>88</v>
      </c>
      <c r="AH185" s="318"/>
      <c r="AI185" s="318"/>
      <c r="AJ185" s="318">
        <f>+VLOOKUP($G185,GenRetS!$D$10:$K$195,8,FALSE)</f>
        <v>0</v>
      </c>
      <c r="AK185" s="317" t="s">
        <v>88</v>
      </c>
      <c r="AL185" s="318"/>
      <c r="AM185" s="318"/>
      <c r="AN185" s="318">
        <f>+VLOOKUP($G185,Laundr!$D$10:$K$195,8,FALSE)</f>
        <v>0</v>
      </c>
      <c r="AO185" s="319"/>
      <c r="AP185" s="319"/>
    </row>
    <row r="186" spans="1:42" s="85" customFormat="1" ht="12">
      <c r="A186" s="84"/>
      <c r="B186" s="84"/>
      <c r="C186" s="84"/>
      <c r="D186" s="84"/>
      <c r="E186" s="313">
        <v>3.7</v>
      </c>
      <c r="F186" s="1119" t="s">
        <v>48</v>
      </c>
      <c r="G186" s="1120"/>
      <c r="H186" s="1121"/>
      <c r="I186" s="317"/>
      <c r="J186" s="318"/>
      <c r="K186" s="318"/>
      <c r="L186" s="318"/>
      <c r="M186" s="317"/>
      <c r="N186" s="318"/>
      <c r="O186" s="318"/>
      <c r="P186" s="318"/>
      <c r="Q186" s="317"/>
      <c r="R186" s="318"/>
      <c r="S186" s="318"/>
      <c r="T186" s="318"/>
      <c r="U186" s="317"/>
      <c r="V186" s="318"/>
      <c r="W186" s="318"/>
      <c r="X186" s="318"/>
      <c r="Y186" s="317"/>
      <c r="Z186" s="318"/>
      <c r="AA186" s="318"/>
      <c r="AB186" s="318"/>
      <c r="AC186" s="317"/>
      <c r="AD186" s="318"/>
      <c r="AE186" s="318"/>
      <c r="AF186" s="318"/>
      <c r="AG186" s="317"/>
      <c r="AH186" s="318"/>
      <c r="AI186" s="318"/>
      <c r="AJ186" s="318"/>
      <c r="AK186" s="317"/>
      <c r="AL186" s="318"/>
      <c r="AM186" s="318"/>
      <c r="AN186" s="318"/>
      <c r="AO186" s="319"/>
      <c r="AP186" s="319"/>
    </row>
    <row r="187" spans="1:42" s="71" customFormat="1" ht="24" outlineLevel="1">
      <c r="A187" s="82"/>
      <c r="B187" s="82"/>
      <c r="C187" s="82"/>
      <c r="D187" s="82"/>
      <c r="E187" s="77"/>
      <c r="F187" s="78" t="s">
        <v>5</v>
      </c>
      <c r="G187" s="78"/>
      <c r="H187" s="72" t="s">
        <v>77</v>
      </c>
      <c r="I187" s="72" t="s">
        <v>86</v>
      </c>
      <c r="J187" s="72"/>
      <c r="K187" s="72"/>
      <c r="L187" s="72"/>
      <c r="M187" s="72" t="s">
        <v>86</v>
      </c>
      <c r="N187" s="72"/>
      <c r="O187" s="72"/>
      <c r="P187" s="72"/>
      <c r="Q187" s="72" t="s">
        <v>86</v>
      </c>
      <c r="R187" s="72"/>
      <c r="S187" s="72"/>
      <c r="T187" s="72"/>
      <c r="U187" s="72" t="s">
        <v>86</v>
      </c>
      <c r="V187" s="72"/>
      <c r="W187" s="72"/>
      <c r="X187" s="72"/>
      <c r="Y187" s="72" t="s">
        <v>86</v>
      </c>
      <c r="Z187" s="72"/>
      <c r="AA187" s="72"/>
      <c r="AB187" s="72"/>
      <c r="AC187" s="72" t="s">
        <v>86</v>
      </c>
      <c r="AD187" s="72"/>
      <c r="AE187" s="72"/>
      <c r="AF187" s="72"/>
      <c r="AG187" s="72" t="s">
        <v>86</v>
      </c>
      <c r="AH187" s="72"/>
      <c r="AI187" s="72"/>
      <c r="AJ187" s="72"/>
      <c r="AK187" s="72" t="s">
        <v>86</v>
      </c>
      <c r="AL187" s="100"/>
      <c r="AM187" s="100"/>
      <c r="AN187" s="100"/>
      <c r="AO187" s="73"/>
      <c r="AP187" s="73"/>
    </row>
    <row r="188" spans="1:42" s="71" customFormat="1" ht="12" outlineLevel="1">
      <c r="A188" s="82"/>
      <c r="B188" s="82"/>
      <c r="C188" s="82"/>
      <c r="D188" s="82"/>
      <c r="E188" s="77"/>
      <c r="F188" s="78"/>
      <c r="G188" s="78" t="s">
        <v>146</v>
      </c>
      <c r="H188" s="74"/>
      <c r="I188" s="68"/>
      <c r="J188" s="83"/>
      <c r="K188" s="83"/>
      <c r="L188" s="83"/>
      <c r="M188" s="68"/>
      <c r="N188" s="83"/>
      <c r="O188" s="83"/>
      <c r="P188" s="83"/>
      <c r="Q188" s="68"/>
      <c r="R188" s="83"/>
      <c r="S188" s="83"/>
      <c r="T188" s="83"/>
      <c r="U188" s="68"/>
      <c r="V188" s="83"/>
      <c r="W188" s="83"/>
      <c r="X188" s="83"/>
      <c r="Y188" s="68"/>
      <c r="Z188" s="83"/>
      <c r="AA188" s="83"/>
      <c r="AB188" s="83"/>
      <c r="AC188" s="68"/>
      <c r="AD188" s="83"/>
      <c r="AE188" s="83"/>
      <c r="AF188" s="83"/>
      <c r="AG188" s="68"/>
      <c r="AH188" s="83"/>
      <c r="AI188" s="83"/>
      <c r="AJ188" s="83"/>
      <c r="AK188" s="68"/>
      <c r="AL188" s="83"/>
      <c r="AM188" s="83"/>
      <c r="AN188" s="83"/>
      <c r="AO188" s="73"/>
      <c r="AP188" s="73"/>
    </row>
    <row r="189" spans="1:42" s="71" customFormat="1" ht="12" outlineLevel="1">
      <c r="A189" s="82"/>
      <c r="B189" s="82"/>
      <c r="C189" s="82"/>
      <c r="D189" s="82"/>
      <c r="E189" s="77"/>
      <c r="F189" s="78"/>
      <c r="G189" s="78" t="s">
        <v>147</v>
      </c>
      <c r="H189" s="72"/>
      <c r="I189" s="68"/>
      <c r="J189" s="83"/>
      <c r="K189" s="83"/>
      <c r="L189" s="83"/>
      <c r="M189" s="68"/>
      <c r="N189" s="83"/>
      <c r="O189" s="83"/>
      <c r="P189" s="83"/>
      <c r="Q189" s="68"/>
      <c r="R189" s="83"/>
      <c r="S189" s="83"/>
      <c r="T189" s="83"/>
      <c r="U189" s="68"/>
      <c r="V189" s="83"/>
      <c r="W189" s="83"/>
      <c r="X189" s="83"/>
      <c r="Y189" s="68"/>
      <c r="Z189" s="83"/>
      <c r="AA189" s="83"/>
      <c r="AB189" s="83"/>
      <c r="AC189" s="68"/>
      <c r="AD189" s="83"/>
      <c r="AE189" s="83"/>
      <c r="AF189" s="83"/>
      <c r="AG189" s="68"/>
      <c r="AH189" s="83"/>
      <c r="AI189" s="83"/>
      <c r="AJ189" s="83"/>
      <c r="AK189" s="68"/>
      <c r="AL189" s="83"/>
      <c r="AM189" s="83"/>
      <c r="AN189" s="83"/>
      <c r="AO189" s="73"/>
      <c r="AP189" s="73"/>
    </row>
    <row r="190" spans="1:42" s="71" customFormat="1" ht="12" outlineLevel="1">
      <c r="A190" s="82"/>
      <c r="B190" s="82"/>
      <c r="C190" s="82"/>
      <c r="D190" s="82"/>
      <c r="E190" s="77"/>
      <c r="F190" s="78"/>
      <c r="G190" s="78" t="s">
        <v>148</v>
      </c>
      <c r="H190" s="72"/>
      <c r="I190" s="68"/>
      <c r="J190" s="83"/>
      <c r="K190" s="83"/>
      <c r="L190" s="83"/>
      <c r="M190" s="68"/>
      <c r="N190" s="83"/>
      <c r="O190" s="83"/>
      <c r="P190" s="83"/>
      <c r="Q190" s="68"/>
      <c r="R190" s="83"/>
      <c r="S190" s="83"/>
      <c r="T190" s="83"/>
      <c r="U190" s="68"/>
      <c r="V190" s="83"/>
      <c r="W190" s="83"/>
      <c r="X190" s="83"/>
      <c r="Y190" s="68"/>
      <c r="Z190" s="83"/>
      <c r="AA190" s="83"/>
      <c r="AB190" s="83"/>
      <c r="AC190" s="68"/>
      <c r="AD190" s="83"/>
      <c r="AE190" s="83"/>
      <c r="AF190" s="83"/>
      <c r="AG190" s="68"/>
      <c r="AH190" s="83"/>
      <c r="AI190" s="83"/>
      <c r="AJ190" s="83"/>
      <c r="AK190" s="68"/>
      <c r="AL190" s="83"/>
      <c r="AM190" s="83"/>
      <c r="AN190" s="83"/>
      <c r="AO190" s="73"/>
      <c r="AP190" s="73"/>
    </row>
    <row r="191" spans="1:42" s="64" customFormat="1" ht="21">
      <c r="E191" s="1087" t="s">
        <v>151</v>
      </c>
      <c r="F191" s="1087"/>
      <c r="G191" s="1087"/>
      <c r="H191" s="1087"/>
      <c r="I191" s="65"/>
      <c r="J191" s="66">
        <f>SUM(J15:J190)</f>
        <v>691580</v>
      </c>
      <c r="K191" s="66">
        <f>SUM(K15:K190)</f>
        <v>420500</v>
      </c>
      <c r="L191" s="66" t="e">
        <f>SUM(L15:L190)</f>
        <v>#N/A</v>
      </c>
      <c r="M191" s="65"/>
      <c r="N191" s="66">
        <f>SUM(N15:N190)</f>
        <v>619630</v>
      </c>
      <c r="O191" s="66">
        <f>SUM(O15:O190)</f>
        <v>355000</v>
      </c>
      <c r="P191" s="66">
        <f>SUM(P15:P190)</f>
        <v>738040</v>
      </c>
      <c r="Q191" s="65"/>
      <c r="R191" s="66">
        <f>SUM(R15:R190)</f>
        <v>478170</v>
      </c>
      <c r="S191" s="66">
        <f>SUM(S15:S190)</f>
        <v>319000</v>
      </c>
      <c r="T191" s="66">
        <f>SUM(T15:T190)</f>
        <v>431020</v>
      </c>
      <c r="U191" s="65"/>
      <c r="V191" s="66">
        <f>SUM(V15:V190)</f>
        <v>416971</v>
      </c>
      <c r="W191" s="66">
        <f>SUM(W15:W190)</f>
        <v>259000</v>
      </c>
      <c r="X191" s="66">
        <f>SUM(X15:X190)</f>
        <v>280420</v>
      </c>
      <c r="Y191" s="65"/>
      <c r="Z191" s="66">
        <f>SUM(Z15:Z190)</f>
        <v>568230</v>
      </c>
      <c r="AA191" s="66">
        <f>SUM(AA15:AA190)</f>
        <v>254500</v>
      </c>
      <c r="AB191" s="66">
        <f>SUM(AB15:AB190)</f>
        <v>382530</v>
      </c>
      <c r="AC191" s="65"/>
      <c r="AD191" s="66">
        <f>SUM(AD15:AD190)</f>
        <v>327770</v>
      </c>
      <c r="AE191" s="66">
        <f>SUM(AE15:AE190)</f>
        <v>269340</v>
      </c>
      <c r="AF191" s="66">
        <f>SUM(AF15:AF190)</f>
        <v>244020</v>
      </c>
      <c r="AG191" s="65"/>
      <c r="AH191" s="66">
        <f>SUM(AH15:AH190)</f>
        <v>312070</v>
      </c>
      <c r="AI191" s="66">
        <f>SUM(AI15:AI190)</f>
        <v>231000</v>
      </c>
      <c r="AJ191" s="66">
        <f>SUM(AJ15:AJ190)</f>
        <v>270320</v>
      </c>
      <c r="AK191" s="65"/>
      <c r="AL191" s="66">
        <f>+SUM(AL15:AL190)</f>
        <v>333170</v>
      </c>
      <c r="AM191" s="66">
        <f>+SUM(AM15:AM190)</f>
        <v>242000</v>
      </c>
      <c r="AN191" s="66">
        <f>+SUM(AN15:AN190)</f>
        <v>345720</v>
      </c>
      <c r="AO191" s="67"/>
      <c r="AP191" s="67"/>
    </row>
    <row r="192" spans="1:42">
      <c r="H192" s="25" t="s">
        <v>152</v>
      </c>
      <c r="J192" s="27">
        <v>1.5</v>
      </c>
      <c r="K192" s="27">
        <v>1.5</v>
      </c>
      <c r="L192" s="27">
        <v>1.5</v>
      </c>
    </row>
    <row r="193" spans="8:12">
      <c r="H193" s="25" t="s">
        <v>153</v>
      </c>
      <c r="J193" s="27">
        <v>0.75</v>
      </c>
      <c r="K193" s="27">
        <v>0.75</v>
      </c>
      <c r="L193" s="27">
        <v>0.75</v>
      </c>
    </row>
  </sheetData>
  <mergeCells count="120">
    <mergeCell ref="E145:F148"/>
    <mergeCell ref="G137:H137"/>
    <mergeCell ref="G141:H141"/>
    <mergeCell ref="G145:H145"/>
    <mergeCell ref="E150:F153"/>
    <mergeCell ref="G150:H150"/>
    <mergeCell ref="F149:H149"/>
    <mergeCell ref="F162:H162"/>
    <mergeCell ref="F171:H171"/>
    <mergeCell ref="G126:H126"/>
    <mergeCell ref="E132:F135"/>
    <mergeCell ref="G132:H132"/>
    <mergeCell ref="E137:F140"/>
    <mergeCell ref="E141:F144"/>
    <mergeCell ref="E90:F93"/>
    <mergeCell ref="E94:F97"/>
    <mergeCell ref="G90:H90"/>
    <mergeCell ref="G94:H94"/>
    <mergeCell ref="E100:F103"/>
    <mergeCell ref="G100:H100"/>
    <mergeCell ref="F99:H99"/>
    <mergeCell ref="F108:H108"/>
    <mergeCell ref="F121:H121"/>
    <mergeCell ref="F131:H131"/>
    <mergeCell ref="F136:H136"/>
    <mergeCell ref="E104:F107"/>
    <mergeCell ref="G104:H104"/>
    <mergeCell ref="E109:F112"/>
    <mergeCell ref="E113:F116"/>
    <mergeCell ref="E117:F120"/>
    <mergeCell ref="G109:H109"/>
    <mergeCell ref="G113:H113"/>
    <mergeCell ref="G117:H117"/>
    <mergeCell ref="E53:F56"/>
    <mergeCell ref="G53:H53"/>
    <mergeCell ref="E58:F61"/>
    <mergeCell ref="E63:F66"/>
    <mergeCell ref="G63:H63"/>
    <mergeCell ref="G58:H58"/>
    <mergeCell ref="E44:F47"/>
    <mergeCell ref="E48:F51"/>
    <mergeCell ref="G48:H48"/>
    <mergeCell ref="G44:H44"/>
    <mergeCell ref="G40:H40"/>
    <mergeCell ref="G23:H23"/>
    <mergeCell ref="G27:H27"/>
    <mergeCell ref="E32:F35"/>
    <mergeCell ref="E36:F39"/>
    <mergeCell ref="E40:F43"/>
    <mergeCell ref="G32:H32"/>
    <mergeCell ref="E15:F18"/>
    <mergeCell ref="E19:F22"/>
    <mergeCell ref="E27:F30"/>
    <mergeCell ref="G15:H15"/>
    <mergeCell ref="G19:H19"/>
    <mergeCell ref="E23:F26"/>
    <mergeCell ref="F186:H186"/>
    <mergeCell ref="E154:F157"/>
    <mergeCell ref="E158:F161"/>
    <mergeCell ref="G154:H154"/>
    <mergeCell ref="G158:H158"/>
    <mergeCell ref="E163:F166"/>
    <mergeCell ref="E167:F170"/>
    <mergeCell ref="G163:H163"/>
    <mergeCell ref="G167:H167"/>
    <mergeCell ref="E172:F175"/>
    <mergeCell ref="E176:F179"/>
    <mergeCell ref="G172:H172"/>
    <mergeCell ref="G176:H176"/>
    <mergeCell ref="E182:F185"/>
    <mergeCell ref="G182:H182"/>
    <mergeCell ref="F181:H181"/>
    <mergeCell ref="E191:H191"/>
    <mergeCell ref="I4:I5"/>
    <mergeCell ref="E4:H5"/>
    <mergeCell ref="AH4:AJ4"/>
    <mergeCell ref="Z4:AB4"/>
    <mergeCell ref="E9:H9"/>
    <mergeCell ref="E10:H10"/>
    <mergeCell ref="E12:H12"/>
    <mergeCell ref="U4:U5"/>
    <mergeCell ref="V4:X4"/>
    <mergeCell ref="AC4:AC5"/>
    <mergeCell ref="AD4:AF4"/>
    <mergeCell ref="AG4:AG5"/>
    <mergeCell ref="F14:H14"/>
    <mergeCell ref="F31:H31"/>
    <mergeCell ref="F52:H52"/>
    <mergeCell ref="E122:F125"/>
    <mergeCell ref="E126:F129"/>
    <mergeCell ref="G122:H122"/>
    <mergeCell ref="F57:H57"/>
    <mergeCell ref="F62:H62"/>
    <mergeCell ref="F67:H67"/>
    <mergeCell ref="F72:H72"/>
    <mergeCell ref="F89:H89"/>
    <mergeCell ref="AL4:AN4"/>
    <mergeCell ref="Y4:Y5"/>
    <mergeCell ref="E180:H180"/>
    <mergeCell ref="E11:H11"/>
    <mergeCell ref="AK4:AK5"/>
    <mergeCell ref="E6:H6"/>
    <mergeCell ref="E7:H7"/>
    <mergeCell ref="E8:H8"/>
    <mergeCell ref="J4:L4"/>
    <mergeCell ref="M4:M5"/>
    <mergeCell ref="N4:P4"/>
    <mergeCell ref="Q4:Q5"/>
    <mergeCell ref="R4:T4"/>
    <mergeCell ref="E68:F71"/>
    <mergeCell ref="G68:H68"/>
    <mergeCell ref="E73:F76"/>
    <mergeCell ref="E77:F80"/>
    <mergeCell ref="E81:F84"/>
    <mergeCell ref="E85:F88"/>
    <mergeCell ref="G73:H73"/>
    <mergeCell ref="G77:H77"/>
    <mergeCell ref="G81:H81"/>
    <mergeCell ref="G85:H85"/>
    <mergeCell ref="G36:H36"/>
  </mergeCells>
  <pageMargins left="0.25" right="0.25" top="0.75" bottom="0.75" header="0.3" footer="0.3"/>
  <pageSetup scale="26" fitToHeight="0" orientation="portrait"/>
  <colBreaks count="1" manualBreakCount="1">
    <brk id="16" max="190"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9" tint="-0.249977111117893"/>
  </sheetPr>
  <dimension ref="A1:Q205"/>
  <sheetViews>
    <sheetView topLeftCell="A49" workbookViewId="0">
      <selection activeCell="B106" sqref="B106:C110"/>
    </sheetView>
  </sheetViews>
  <sheetFormatPr baseColWidth="10" defaultColWidth="8.83203125" defaultRowHeight="13" outlineLevelRow="1" x14ac:dyDescent="0"/>
  <cols>
    <col min="1" max="2" width="8.83203125" style="30"/>
    <col min="3" max="3" width="12.1640625" style="88" bestFit="1" customWidth="1"/>
    <col min="4" max="4" width="6.6640625" style="89" bestFit="1" customWidth="1"/>
    <col min="5" max="5" width="76.83203125" style="30" bestFit="1" customWidth="1"/>
    <col min="6" max="6" width="23.6640625" style="249" bestFit="1" customWidth="1"/>
    <col min="7" max="7" width="9" style="89" bestFit="1" customWidth="1"/>
    <col min="8" max="8" width="5" style="89" bestFit="1" customWidth="1"/>
    <col min="9" max="10" width="15.6640625" style="92" customWidth="1"/>
    <col min="11" max="11" width="15.6640625" style="107" customWidth="1"/>
    <col min="12" max="12" width="20.6640625" style="102" customWidth="1"/>
    <col min="13" max="13" width="16" style="95" customWidth="1"/>
    <col min="14" max="16384" width="8.83203125" style="30"/>
  </cols>
  <sheetData>
    <row r="1" spans="1:17" ht="15" customHeight="1">
      <c r="A1" s="1188" t="s">
        <v>62</v>
      </c>
      <c r="B1" s="1188"/>
      <c r="C1" s="1188"/>
      <c r="D1" s="1188"/>
      <c r="E1" s="1189" t="s">
        <v>155</v>
      </c>
      <c r="F1" s="91"/>
      <c r="G1" s="120"/>
      <c r="H1" s="120"/>
      <c r="I1" s="225"/>
      <c r="J1" s="225"/>
      <c r="K1" s="226"/>
      <c r="L1" s="227"/>
      <c r="M1" s="228"/>
      <c r="N1" s="109"/>
      <c r="O1" s="109"/>
      <c r="P1" s="109"/>
      <c r="Q1" s="109"/>
    </row>
    <row r="2" spans="1:17">
      <c r="A2" s="1188"/>
      <c r="B2" s="1188"/>
      <c r="C2" s="1188"/>
      <c r="D2" s="1188"/>
      <c r="E2" s="1189"/>
      <c r="F2" s="91"/>
      <c r="G2" s="120"/>
      <c r="H2" s="120"/>
      <c r="I2" s="225"/>
      <c r="J2" s="225"/>
      <c r="K2" s="226"/>
      <c r="L2" s="227"/>
      <c r="M2" s="228"/>
      <c r="N2" s="109"/>
      <c r="O2" s="109"/>
      <c r="P2" s="109"/>
      <c r="Q2" s="109"/>
    </row>
    <row r="3" spans="1:17">
      <c r="A3" s="1187" t="s">
        <v>367</v>
      </c>
      <c r="B3" s="1187"/>
      <c r="C3" s="1187"/>
      <c r="D3" s="1187"/>
      <c r="E3" s="259">
        <v>12000</v>
      </c>
      <c r="F3" s="247"/>
      <c r="G3" s="120"/>
      <c r="H3" s="120"/>
      <c r="I3" s="225"/>
      <c r="J3" s="225"/>
      <c r="K3" s="226"/>
      <c r="L3" s="227"/>
      <c r="M3" s="228"/>
      <c r="N3" s="109"/>
      <c r="O3" s="109"/>
      <c r="P3" s="109"/>
      <c r="Q3" s="109"/>
    </row>
    <row r="4" spans="1:17" ht="15" customHeight="1">
      <c r="A4" s="1187" t="s">
        <v>359</v>
      </c>
      <c r="B4" s="1187"/>
      <c r="C4" s="1187"/>
      <c r="D4" s="1187"/>
      <c r="E4" s="260">
        <v>150</v>
      </c>
      <c r="F4" s="248"/>
      <c r="G4" s="120"/>
      <c r="H4" s="120"/>
      <c r="I4" s="225"/>
      <c r="J4" s="225"/>
      <c r="K4" s="226"/>
      <c r="L4" s="227"/>
      <c r="M4" s="228"/>
      <c r="N4" s="109"/>
      <c r="O4" s="109"/>
      <c r="P4" s="109"/>
      <c r="Q4" s="109"/>
    </row>
    <row r="5" spans="1:17">
      <c r="A5" s="1187" t="s">
        <v>491</v>
      </c>
      <c r="B5" s="1187"/>
      <c r="C5" s="1187"/>
      <c r="D5" s="1187"/>
      <c r="E5" s="260">
        <v>4</v>
      </c>
      <c r="F5" s="248"/>
      <c r="G5" s="120"/>
      <c r="H5" s="120"/>
      <c r="I5" s="225"/>
      <c r="J5" s="225"/>
      <c r="K5" s="226"/>
      <c r="L5" s="227"/>
      <c r="M5" s="228"/>
      <c r="N5" s="109"/>
      <c r="O5" s="109"/>
      <c r="P5" s="109"/>
      <c r="Q5" s="109"/>
    </row>
    <row r="6" spans="1:17">
      <c r="A6" s="1187" t="s">
        <v>361</v>
      </c>
      <c r="B6" s="1187"/>
      <c r="C6" s="1187"/>
      <c r="D6" s="1187"/>
      <c r="E6" s="260">
        <v>130</v>
      </c>
      <c r="F6" s="248"/>
      <c r="G6" s="120"/>
      <c r="H6" s="120"/>
      <c r="I6" s="225"/>
      <c r="J6" s="225"/>
      <c r="K6" s="226"/>
      <c r="L6" s="227"/>
      <c r="M6" s="228"/>
      <c r="N6" s="109"/>
      <c r="O6" s="109"/>
      <c r="P6" s="109"/>
      <c r="Q6" s="109"/>
    </row>
    <row r="7" spans="1:17" ht="27" thickBot="1">
      <c r="A7" s="109"/>
      <c r="B7" s="109"/>
      <c r="C7" s="229"/>
      <c r="D7" s="120"/>
      <c r="E7" s="109"/>
      <c r="F7" s="91" t="s">
        <v>362</v>
      </c>
      <c r="G7" s="91" t="s">
        <v>336</v>
      </c>
      <c r="H7" s="91" t="s">
        <v>337</v>
      </c>
      <c r="I7" s="119" t="s">
        <v>365</v>
      </c>
      <c r="J7" s="119" t="s">
        <v>366</v>
      </c>
      <c r="K7" s="253" t="s">
        <v>560</v>
      </c>
      <c r="L7" s="253" t="s">
        <v>368</v>
      </c>
      <c r="M7" s="228"/>
      <c r="N7" s="109"/>
      <c r="O7" s="109"/>
      <c r="P7" s="109"/>
      <c r="Q7" s="109"/>
    </row>
    <row r="8" spans="1:17" ht="15" customHeight="1" thickBot="1">
      <c r="A8" s="109"/>
      <c r="B8" s="690">
        <v>1</v>
      </c>
      <c r="C8" s="691" t="s">
        <v>28</v>
      </c>
      <c r="D8" s="692"/>
      <c r="E8" s="691"/>
      <c r="F8" s="628"/>
      <c r="G8" s="451"/>
      <c r="H8" s="451"/>
      <c r="I8" s="662"/>
      <c r="J8" s="662"/>
      <c r="K8" s="693"/>
      <c r="L8" s="590"/>
      <c r="M8" s="228"/>
      <c r="N8" s="109"/>
      <c r="O8" s="109"/>
      <c r="P8" s="109"/>
      <c r="Q8" s="109"/>
    </row>
    <row r="9" spans="1:17" ht="15" customHeight="1" thickBot="1">
      <c r="A9" s="109"/>
      <c r="B9" s="442">
        <v>1.1000000000000001</v>
      </c>
      <c r="C9" s="1167" t="s">
        <v>0</v>
      </c>
      <c r="D9" s="1167"/>
      <c r="E9" s="1167"/>
      <c r="F9" s="444"/>
      <c r="G9" s="444"/>
      <c r="H9" s="444"/>
      <c r="I9" s="648"/>
      <c r="J9" s="648"/>
      <c r="K9" s="694"/>
      <c r="L9" s="575"/>
      <c r="M9" s="228"/>
      <c r="N9" s="109"/>
      <c r="O9" s="109"/>
      <c r="P9" s="109"/>
      <c r="Q9" s="109"/>
    </row>
    <row r="10" spans="1:17" outlineLevel="1">
      <c r="A10" s="109"/>
      <c r="B10" s="1170" t="s">
        <v>515</v>
      </c>
      <c r="C10" s="1171"/>
      <c r="D10" s="1171" t="s">
        <v>370</v>
      </c>
      <c r="E10" s="420" t="s">
        <v>300</v>
      </c>
      <c r="F10" s="689"/>
      <c r="G10" s="421">
        <v>300</v>
      </c>
      <c r="H10" s="421" t="s">
        <v>360</v>
      </c>
      <c r="I10" s="391">
        <f>+VLOOKUP(E10,'Line items'!$B$3:$D$102,3,FALSE)</f>
        <v>80</v>
      </c>
      <c r="J10" s="391">
        <f>+I10*G10</f>
        <v>24000</v>
      </c>
      <c r="K10" s="1185">
        <f>+SUM(J10:J13)</f>
        <v>166500</v>
      </c>
      <c r="L10" s="1148">
        <f>+SUM(K10:K14)</f>
        <v>214500</v>
      </c>
      <c r="M10" s="228"/>
      <c r="N10" s="109"/>
      <c r="O10" s="109"/>
      <c r="P10" s="109"/>
      <c r="Q10" s="109"/>
    </row>
    <row r="11" spans="1:17" ht="15" customHeight="1" outlineLevel="1">
      <c r="A11" s="109"/>
      <c r="B11" s="1164"/>
      <c r="C11" s="1160"/>
      <c r="D11" s="1160"/>
      <c r="E11" s="370" t="s">
        <v>648</v>
      </c>
      <c r="F11" s="467"/>
      <c r="G11" s="371">
        <v>300</v>
      </c>
      <c r="H11" s="371" t="s">
        <v>360</v>
      </c>
      <c r="I11" s="372">
        <f>+VLOOKUP(E11,'Line items'!$B$3:$D$102,3,FALSE)</f>
        <v>130</v>
      </c>
      <c r="J11" s="372">
        <f>+I11*G11</f>
        <v>39000</v>
      </c>
      <c r="K11" s="1160"/>
      <c r="L11" s="1149"/>
      <c r="M11" s="228"/>
      <c r="N11" s="109"/>
      <c r="O11" s="109"/>
      <c r="P11" s="109"/>
      <c r="Q11" s="109"/>
    </row>
    <row r="12" spans="1:17" ht="15" customHeight="1" outlineLevel="1">
      <c r="A12" s="109"/>
      <c r="B12" s="1164"/>
      <c r="C12" s="1160"/>
      <c r="D12" s="1160"/>
      <c r="E12" s="370" t="s">
        <v>759</v>
      </c>
      <c r="F12" s="467"/>
      <c r="G12" s="371">
        <v>480</v>
      </c>
      <c r="H12" s="371" t="s">
        <v>758</v>
      </c>
      <c r="I12" s="372">
        <f>+VLOOKUP(E12,'Line items'!$B$3:$D$102,3,FALSE)</f>
        <v>200</v>
      </c>
      <c r="J12" s="372">
        <f>+I12*G12</f>
        <v>96000</v>
      </c>
      <c r="K12" s="1160"/>
      <c r="L12" s="1149"/>
      <c r="M12" s="228"/>
      <c r="N12" s="109"/>
      <c r="O12" s="109"/>
      <c r="P12" s="109"/>
      <c r="Q12" s="109"/>
    </row>
    <row r="13" spans="1:17" ht="15" customHeight="1" outlineLevel="1">
      <c r="A13" s="109"/>
      <c r="B13" s="1164"/>
      <c r="C13" s="1160"/>
      <c r="D13" s="1160"/>
      <c r="E13" s="370" t="s">
        <v>653</v>
      </c>
      <c r="F13" s="467"/>
      <c r="G13" s="371">
        <v>3</v>
      </c>
      <c r="H13" s="371" t="s">
        <v>364</v>
      </c>
      <c r="I13" s="372">
        <f>+VLOOKUP(E13,'Line items'!$B$3:$D$102,3,FALSE)</f>
        <v>2500</v>
      </c>
      <c r="J13" s="372">
        <f t="shared" ref="J13:J30" si="0">+I13*G13</f>
        <v>7500</v>
      </c>
      <c r="K13" s="1160"/>
      <c r="L13" s="1149"/>
      <c r="M13" s="230"/>
      <c r="N13" s="109"/>
      <c r="O13" s="109"/>
      <c r="P13" s="109"/>
      <c r="Q13" s="109"/>
    </row>
    <row r="14" spans="1:17" outlineLevel="1">
      <c r="A14" s="109"/>
      <c r="B14" s="1164"/>
      <c r="C14" s="1160"/>
      <c r="D14" s="620" t="s">
        <v>369</v>
      </c>
      <c r="E14" s="370" t="s">
        <v>557</v>
      </c>
      <c r="F14" s="467"/>
      <c r="G14" s="371">
        <f>+E3/2000</f>
        <v>6</v>
      </c>
      <c r="H14" s="371" t="s">
        <v>364</v>
      </c>
      <c r="I14" s="372">
        <f>+VLOOKUP(E14,'Line items'!$B$3:$D$102,3,FALSE)</f>
        <v>8000</v>
      </c>
      <c r="J14" s="372">
        <f t="shared" si="0"/>
        <v>48000</v>
      </c>
      <c r="K14" s="621">
        <f>+J14</f>
        <v>48000</v>
      </c>
      <c r="L14" s="1149"/>
      <c r="M14" s="228"/>
      <c r="N14" s="109"/>
      <c r="O14" s="109"/>
      <c r="P14" s="109"/>
      <c r="Q14" s="109"/>
    </row>
    <row r="15" spans="1:17" ht="14" outlineLevel="1" thickBot="1">
      <c r="A15" s="109"/>
      <c r="B15" s="1165"/>
      <c r="C15" s="1166"/>
      <c r="D15" s="631" t="s">
        <v>371</v>
      </c>
      <c r="E15" s="396" t="s">
        <v>301</v>
      </c>
      <c r="F15" s="468"/>
      <c r="G15" s="397"/>
      <c r="H15" s="397"/>
      <c r="I15" s="398"/>
      <c r="J15" s="398"/>
      <c r="K15" s="551"/>
      <c r="L15" s="1150"/>
      <c r="M15" s="228"/>
      <c r="N15" s="109"/>
      <c r="O15" s="109"/>
      <c r="P15" s="109"/>
      <c r="Q15" s="109"/>
    </row>
    <row r="16" spans="1:17" outlineLevel="1">
      <c r="A16" s="109"/>
      <c r="B16" s="1162" t="s">
        <v>516</v>
      </c>
      <c r="C16" s="1163"/>
      <c r="D16" s="632" t="s">
        <v>380</v>
      </c>
      <c r="E16" s="401" t="s">
        <v>302</v>
      </c>
      <c r="F16" s="469"/>
      <c r="G16" s="402"/>
      <c r="H16" s="402"/>
      <c r="I16" s="403"/>
      <c r="J16" s="403"/>
      <c r="K16" s="557"/>
      <c r="L16" s="1155">
        <f>+SUM(K16:K18)</f>
        <v>48000</v>
      </c>
      <c r="M16" s="228"/>
      <c r="N16" s="109"/>
      <c r="O16" s="109"/>
      <c r="P16" s="109"/>
      <c r="Q16" s="109"/>
    </row>
    <row r="17" spans="1:17" outlineLevel="1">
      <c r="A17" s="109"/>
      <c r="B17" s="1164"/>
      <c r="C17" s="1160"/>
      <c r="D17" s="620" t="s">
        <v>373</v>
      </c>
      <c r="E17" s="374" t="s">
        <v>557</v>
      </c>
      <c r="F17" s="467"/>
      <c r="G17" s="375">
        <f>+G14</f>
        <v>6</v>
      </c>
      <c r="H17" s="375" t="s">
        <v>364</v>
      </c>
      <c r="I17" s="372">
        <f>+VLOOKUP(E17,'Line items'!$B$3:$D$102,3,FALSE)</f>
        <v>8000</v>
      </c>
      <c r="J17" s="376">
        <f t="shared" si="0"/>
        <v>48000</v>
      </c>
      <c r="K17" s="534">
        <f>+J17</f>
        <v>48000</v>
      </c>
      <c r="L17" s="1156"/>
      <c r="M17" s="228"/>
      <c r="N17" s="109"/>
      <c r="O17" s="109"/>
      <c r="P17" s="109"/>
      <c r="Q17" s="109"/>
    </row>
    <row r="18" spans="1:17" ht="14" outlineLevel="1" thickBot="1">
      <c r="A18" s="109"/>
      <c r="B18" s="1165"/>
      <c r="C18" s="1166"/>
      <c r="D18" s="631" t="s">
        <v>372</v>
      </c>
      <c r="E18" s="396" t="s">
        <v>301</v>
      </c>
      <c r="F18" s="468"/>
      <c r="G18" s="397"/>
      <c r="H18" s="397"/>
      <c r="I18" s="398"/>
      <c r="J18" s="398"/>
      <c r="K18" s="551"/>
      <c r="L18" s="1157"/>
      <c r="M18" s="228"/>
      <c r="N18" s="109"/>
      <c r="O18" s="109"/>
      <c r="P18" s="109"/>
      <c r="Q18" s="109"/>
    </row>
    <row r="19" spans="1:17" outlineLevel="1">
      <c r="A19" s="109"/>
      <c r="B19" s="1162" t="s">
        <v>517</v>
      </c>
      <c r="C19" s="1163"/>
      <c r="D19" s="1163" t="s">
        <v>374</v>
      </c>
      <c r="E19" s="392" t="s">
        <v>489</v>
      </c>
      <c r="F19" s="465"/>
      <c r="G19" s="393">
        <v>300</v>
      </c>
      <c r="H19" s="393" t="s">
        <v>360</v>
      </c>
      <c r="I19" s="403">
        <f>+VLOOKUP(E19,'Line items'!$B$3:$D$102,3,FALSE)</f>
        <v>130</v>
      </c>
      <c r="J19" s="403">
        <f t="shared" si="0"/>
        <v>39000</v>
      </c>
      <c r="K19" s="1186">
        <f>+SUM(J19:J23)</f>
        <v>58000</v>
      </c>
      <c r="L19" s="1155">
        <f>+SUM(K19:K24)</f>
        <v>63000</v>
      </c>
      <c r="M19" s="228"/>
      <c r="N19" s="109"/>
      <c r="O19" s="109"/>
      <c r="P19" s="109"/>
      <c r="Q19" s="109"/>
    </row>
    <row r="20" spans="1:17" outlineLevel="1">
      <c r="A20" s="109"/>
      <c r="B20" s="1164"/>
      <c r="C20" s="1160"/>
      <c r="D20" s="1160"/>
      <c r="E20" s="370" t="s">
        <v>303</v>
      </c>
      <c r="F20" s="466"/>
      <c r="G20" s="371">
        <v>1</v>
      </c>
      <c r="H20" s="371" t="s">
        <v>364</v>
      </c>
      <c r="I20" s="376">
        <f>+VLOOKUP(E20,'Line items'!$B$3:$D$102,3,FALSE)</f>
        <v>7500</v>
      </c>
      <c r="J20" s="376">
        <f t="shared" si="0"/>
        <v>7500</v>
      </c>
      <c r="K20" s="1180"/>
      <c r="L20" s="1156"/>
      <c r="M20" s="228"/>
      <c r="N20" s="109"/>
      <c r="O20" s="109"/>
      <c r="P20" s="109"/>
      <c r="Q20" s="109"/>
    </row>
    <row r="21" spans="1:17" ht="14" outlineLevel="1">
      <c r="A21" s="109"/>
      <c r="B21" s="1164"/>
      <c r="C21" s="1160"/>
      <c r="D21" s="1160"/>
      <c r="E21" s="370" t="s">
        <v>558</v>
      </c>
      <c r="F21" s="472"/>
      <c r="G21" s="371">
        <v>1</v>
      </c>
      <c r="H21" s="371" t="s">
        <v>364</v>
      </c>
      <c r="I21" s="376">
        <f>+VLOOKUP(E21,'Line items'!$B$3:$D$102,3,FALSE)</f>
        <v>1000</v>
      </c>
      <c r="J21" s="376">
        <f t="shared" si="0"/>
        <v>1000</v>
      </c>
      <c r="K21" s="1180"/>
      <c r="L21" s="1156"/>
      <c r="M21" s="228"/>
      <c r="N21" s="109"/>
      <c r="O21" s="231"/>
      <c r="P21" s="109"/>
      <c r="Q21" s="109"/>
    </row>
    <row r="22" spans="1:17" outlineLevel="1">
      <c r="A22" s="109"/>
      <c r="B22" s="1164"/>
      <c r="C22" s="1160"/>
      <c r="D22" s="1160"/>
      <c r="E22" s="370" t="s">
        <v>654</v>
      </c>
      <c r="F22" s="466"/>
      <c r="G22" s="371">
        <v>1</v>
      </c>
      <c r="H22" s="371" t="s">
        <v>646</v>
      </c>
      <c r="I22" s="376">
        <f>+VLOOKUP(E22,'Line items'!$B$3:$D$102,3,FALSE)</f>
        <v>2500</v>
      </c>
      <c r="J22" s="376">
        <f t="shared" si="0"/>
        <v>2500</v>
      </c>
      <c r="K22" s="1180"/>
      <c r="L22" s="1156"/>
      <c r="M22" s="228"/>
      <c r="N22" s="109"/>
      <c r="O22" s="109"/>
      <c r="P22" s="109"/>
      <c r="Q22" s="109"/>
    </row>
    <row r="23" spans="1:17" outlineLevel="1">
      <c r="A23" s="109"/>
      <c r="B23" s="1164"/>
      <c r="C23" s="1160"/>
      <c r="D23" s="1160"/>
      <c r="E23" s="370" t="s">
        <v>486</v>
      </c>
      <c r="F23" s="466"/>
      <c r="G23" s="371">
        <v>1</v>
      </c>
      <c r="H23" s="371" t="s">
        <v>364</v>
      </c>
      <c r="I23" s="376">
        <f>+VLOOKUP(E23,'Line items'!$B$3:$D$102,3,FALSE)</f>
        <v>8000</v>
      </c>
      <c r="J23" s="376">
        <f t="shared" si="0"/>
        <v>8000</v>
      </c>
      <c r="K23" s="1180"/>
      <c r="L23" s="1156"/>
      <c r="M23" s="228"/>
      <c r="N23" s="228"/>
      <c r="O23" s="109"/>
      <c r="P23" s="109"/>
      <c r="Q23" s="109"/>
    </row>
    <row r="24" spans="1:17" outlineLevel="1">
      <c r="A24" s="109"/>
      <c r="B24" s="1164"/>
      <c r="C24" s="1160"/>
      <c r="D24" s="620" t="s">
        <v>375</v>
      </c>
      <c r="E24" s="370" t="s">
        <v>304</v>
      </c>
      <c r="F24" s="467"/>
      <c r="G24" s="371">
        <v>100</v>
      </c>
      <c r="H24" s="371" t="s">
        <v>360</v>
      </c>
      <c r="I24" s="376">
        <f>+VLOOKUP(E24,'Line items'!$B$3:$D$102,3,FALSE)</f>
        <v>50</v>
      </c>
      <c r="J24" s="376">
        <f t="shared" si="0"/>
        <v>5000</v>
      </c>
      <c r="K24" s="534">
        <f>+J24</f>
        <v>5000</v>
      </c>
      <c r="L24" s="1156"/>
      <c r="M24" s="228"/>
      <c r="N24" s="109"/>
      <c r="O24" s="109"/>
      <c r="P24" s="109"/>
      <c r="Q24" s="109"/>
    </row>
    <row r="25" spans="1:17" ht="14" outlineLevel="1" thickBot="1">
      <c r="A25" s="109"/>
      <c r="B25" s="1165"/>
      <c r="C25" s="1166"/>
      <c r="D25" s="631" t="s">
        <v>376</v>
      </c>
      <c r="E25" s="439" t="s">
        <v>88</v>
      </c>
      <c r="F25" s="468"/>
      <c r="G25" s="440"/>
      <c r="H25" s="440"/>
      <c r="I25" s="398"/>
      <c r="J25" s="398"/>
      <c r="K25" s="551"/>
      <c r="L25" s="688"/>
      <c r="M25" s="228"/>
      <c r="N25" s="109"/>
      <c r="O25" s="109"/>
      <c r="P25" s="109"/>
      <c r="Q25" s="109"/>
    </row>
    <row r="26" spans="1:17" outlineLevel="1">
      <c r="A26" s="109"/>
      <c r="B26" s="1162" t="s">
        <v>518</v>
      </c>
      <c r="C26" s="1163"/>
      <c r="D26" s="1163" t="s">
        <v>377</v>
      </c>
      <c r="E26" s="392" t="s">
        <v>652</v>
      </c>
      <c r="F26" s="469"/>
      <c r="G26" s="393">
        <v>1</v>
      </c>
      <c r="H26" s="393" t="s">
        <v>364</v>
      </c>
      <c r="I26" s="403">
        <f>+VLOOKUP(E26,'Line items'!$B$3:$D$102,3,FALSE)</f>
        <v>2500</v>
      </c>
      <c r="J26" s="403">
        <f t="shared" si="0"/>
        <v>2500</v>
      </c>
      <c r="K26" s="1186">
        <f>+SUM(J26:J28)</f>
        <v>12500</v>
      </c>
      <c r="L26" s="1155">
        <f>+SUM(K26:K30)</f>
        <v>108500</v>
      </c>
      <c r="M26" s="228"/>
      <c r="N26" s="109"/>
      <c r="O26" s="109"/>
      <c r="P26" s="109"/>
      <c r="Q26" s="109"/>
    </row>
    <row r="27" spans="1:17" outlineLevel="1">
      <c r="A27" s="109"/>
      <c r="B27" s="1164"/>
      <c r="C27" s="1160"/>
      <c r="D27" s="1160"/>
      <c r="E27" s="370" t="s">
        <v>306</v>
      </c>
      <c r="F27" s="467"/>
      <c r="G27" s="371">
        <v>1</v>
      </c>
      <c r="H27" s="371" t="s">
        <v>364</v>
      </c>
      <c r="I27" s="376">
        <f>+VLOOKUP(E27,'Line items'!$B$3:$D$102,3,FALSE)</f>
        <v>10000</v>
      </c>
      <c r="J27" s="376">
        <f t="shared" si="0"/>
        <v>10000</v>
      </c>
      <c r="K27" s="1180"/>
      <c r="L27" s="1156"/>
      <c r="M27" s="228"/>
      <c r="N27" s="109"/>
      <c r="O27" s="109"/>
      <c r="P27" s="109"/>
      <c r="Q27" s="109"/>
    </row>
    <row r="28" spans="1:17" outlineLevel="1">
      <c r="A28" s="109"/>
      <c r="B28" s="1164"/>
      <c r="C28" s="1160"/>
      <c r="D28" s="1160"/>
      <c r="E28" s="379" t="s">
        <v>307</v>
      </c>
      <c r="F28" s="467"/>
      <c r="G28" s="375">
        <v>150</v>
      </c>
      <c r="H28" s="375" t="s">
        <v>360</v>
      </c>
      <c r="I28" s="376"/>
      <c r="J28" s="376"/>
      <c r="K28" s="1180"/>
      <c r="L28" s="1156"/>
      <c r="M28" s="228"/>
      <c r="N28" s="109"/>
      <c r="O28" s="109"/>
      <c r="P28" s="109"/>
      <c r="Q28" s="109"/>
    </row>
    <row r="29" spans="1:17" outlineLevel="1">
      <c r="A29" s="109"/>
      <c r="B29" s="1164"/>
      <c r="C29" s="1160"/>
      <c r="D29" s="620" t="s">
        <v>378</v>
      </c>
      <c r="E29" s="370" t="s">
        <v>170</v>
      </c>
      <c r="F29" s="467"/>
      <c r="G29" s="371">
        <f>G12</f>
        <v>480</v>
      </c>
      <c r="H29" s="371" t="s">
        <v>758</v>
      </c>
      <c r="I29" s="376">
        <f>+VLOOKUP(E29,'Line items'!$B$3:$D$102,3,FALSE)</f>
        <v>200</v>
      </c>
      <c r="J29" s="376">
        <f t="shared" si="0"/>
        <v>96000</v>
      </c>
      <c r="K29" s="534">
        <f>+J29</f>
        <v>96000</v>
      </c>
      <c r="L29" s="1156"/>
      <c r="M29" s="228"/>
      <c r="N29" s="109"/>
      <c r="O29" s="109"/>
      <c r="P29" s="109"/>
      <c r="Q29" s="109"/>
    </row>
    <row r="30" spans="1:17" ht="14" outlineLevel="1" thickBot="1">
      <c r="A30" s="109"/>
      <c r="B30" s="1172"/>
      <c r="C30" s="1161"/>
      <c r="D30" s="622" t="s">
        <v>379</v>
      </c>
      <c r="E30" s="370" t="s">
        <v>170</v>
      </c>
      <c r="F30" s="470"/>
      <c r="G30" s="428">
        <v>0</v>
      </c>
      <c r="H30" s="428" t="s">
        <v>364</v>
      </c>
      <c r="I30" s="384">
        <f>+VLOOKUP(E30,'Line items'!$B$3:$D$102,3,FALSE)</f>
        <v>200</v>
      </c>
      <c r="J30" s="384">
        <f t="shared" si="0"/>
        <v>0</v>
      </c>
      <c r="K30" s="543">
        <f>+J30</f>
        <v>0</v>
      </c>
      <c r="L30" s="1158"/>
      <c r="M30" s="228"/>
      <c r="N30" s="109"/>
      <c r="O30" s="109"/>
      <c r="P30" s="109"/>
      <c r="Q30" s="109"/>
    </row>
    <row r="31" spans="1:17" ht="14" thickBot="1">
      <c r="A31" s="109"/>
      <c r="B31" s="442">
        <v>1.2</v>
      </c>
      <c r="C31" s="1167" t="s">
        <v>4</v>
      </c>
      <c r="D31" s="1167"/>
      <c r="E31" s="1167"/>
      <c r="F31" s="702"/>
      <c r="G31" s="444"/>
      <c r="H31" s="444"/>
      <c r="I31" s="444"/>
      <c r="J31" s="444"/>
      <c r="K31" s="445"/>
      <c r="L31" s="446"/>
      <c r="M31" s="228"/>
      <c r="N31" s="109"/>
      <c r="O31" s="109"/>
      <c r="P31" s="109"/>
      <c r="Q31" s="109"/>
    </row>
    <row r="32" spans="1:17" outlineLevel="1">
      <c r="A32" s="109"/>
      <c r="B32" s="1170" t="s">
        <v>519</v>
      </c>
      <c r="C32" s="1171"/>
      <c r="D32" s="1171" t="s">
        <v>381</v>
      </c>
      <c r="E32" s="430" t="s">
        <v>655</v>
      </c>
      <c r="F32" s="689" t="s">
        <v>498</v>
      </c>
      <c r="G32" s="421">
        <v>300</v>
      </c>
      <c r="H32" s="421" t="s">
        <v>360</v>
      </c>
      <c r="I32" s="391">
        <f>+VLOOKUP(E32,'Line items'!$B$3:$D$102,3,FALSE)</f>
        <v>100</v>
      </c>
      <c r="J32" s="391">
        <f t="shared" ref="J32:J91" si="1">+I32*G32</f>
        <v>30000</v>
      </c>
      <c r="K32" s="1185">
        <f>+SUM(J32:J34)</f>
        <v>100500</v>
      </c>
      <c r="L32" s="1159">
        <f>+SUM(K32:K36)</f>
        <v>100500</v>
      </c>
      <c r="M32" s="228"/>
      <c r="N32" s="109"/>
      <c r="O32" s="109"/>
      <c r="P32" s="109"/>
      <c r="Q32" s="109"/>
    </row>
    <row r="33" spans="1:17" outlineLevel="1">
      <c r="A33" s="109"/>
      <c r="B33" s="1164"/>
      <c r="C33" s="1160"/>
      <c r="D33" s="1160"/>
      <c r="E33" s="370" t="s">
        <v>659</v>
      </c>
      <c r="F33" s="467"/>
      <c r="G33" s="371">
        <v>300</v>
      </c>
      <c r="H33" s="371" t="s">
        <v>360</v>
      </c>
      <c r="I33" s="372">
        <f>+VLOOKUP(E33,'Line items'!$B$3:$D$102,3,FALSE)</f>
        <v>210</v>
      </c>
      <c r="J33" s="372">
        <f t="shared" si="1"/>
        <v>63000</v>
      </c>
      <c r="K33" s="1160"/>
      <c r="L33" s="1156"/>
      <c r="M33" s="228"/>
      <c r="N33" s="109"/>
      <c r="O33" s="109"/>
      <c r="P33" s="109"/>
      <c r="Q33" s="109"/>
    </row>
    <row r="34" spans="1:17" outlineLevel="1">
      <c r="A34" s="109"/>
      <c r="B34" s="1164"/>
      <c r="C34" s="1160"/>
      <c r="D34" s="1160"/>
      <c r="E34" s="370" t="s">
        <v>660</v>
      </c>
      <c r="F34" s="467"/>
      <c r="G34" s="371">
        <v>3</v>
      </c>
      <c r="H34" s="371" t="s">
        <v>364</v>
      </c>
      <c r="I34" s="372">
        <f>+VLOOKUP(E34,'Line items'!$B$3:$D$102,3,FALSE)</f>
        <v>2500</v>
      </c>
      <c r="J34" s="372">
        <f t="shared" si="1"/>
        <v>7500</v>
      </c>
      <c r="K34" s="1160"/>
      <c r="L34" s="1156"/>
      <c r="M34" s="228"/>
      <c r="N34" s="109"/>
      <c r="O34" s="109"/>
      <c r="P34" s="109"/>
      <c r="Q34" s="109"/>
    </row>
    <row r="35" spans="1:17" outlineLevel="1">
      <c r="A35" s="109"/>
      <c r="B35" s="1164"/>
      <c r="C35" s="1160"/>
      <c r="D35" s="620" t="s">
        <v>382</v>
      </c>
      <c r="E35" s="374" t="s">
        <v>88</v>
      </c>
      <c r="F35" s="467"/>
      <c r="G35" s="375"/>
      <c r="H35" s="375"/>
      <c r="I35" s="376"/>
      <c r="J35" s="376">
        <f t="shared" si="1"/>
        <v>0</v>
      </c>
      <c r="K35" s="534">
        <f>+J35</f>
        <v>0</v>
      </c>
      <c r="L35" s="1156"/>
      <c r="M35" s="228"/>
      <c r="N35" s="109"/>
      <c r="O35" s="109"/>
      <c r="P35" s="109"/>
      <c r="Q35" s="109"/>
    </row>
    <row r="36" spans="1:17" ht="14" outlineLevel="1" thickBot="1">
      <c r="A36" s="109"/>
      <c r="B36" s="1172"/>
      <c r="C36" s="1161"/>
      <c r="D36" s="622" t="s">
        <v>383</v>
      </c>
      <c r="E36" s="382" t="s">
        <v>301</v>
      </c>
      <c r="F36" s="470"/>
      <c r="G36" s="383"/>
      <c r="H36" s="383"/>
      <c r="I36" s="384"/>
      <c r="J36" s="384">
        <f t="shared" si="1"/>
        <v>0</v>
      </c>
      <c r="K36" s="543">
        <f>+J36</f>
        <v>0</v>
      </c>
      <c r="L36" s="1158"/>
      <c r="M36" s="228"/>
      <c r="N36" s="109"/>
      <c r="O36" s="109"/>
      <c r="P36" s="109"/>
      <c r="Q36" s="109"/>
    </row>
    <row r="37" spans="1:17" outlineLevel="1">
      <c r="A37" s="109"/>
      <c r="B37" s="1162" t="s">
        <v>520</v>
      </c>
      <c r="C37" s="1163"/>
      <c r="D37" s="1163" t="s">
        <v>384</v>
      </c>
      <c r="E37" s="401" t="s">
        <v>499</v>
      </c>
      <c r="F37" s="687" t="s">
        <v>498</v>
      </c>
      <c r="G37" s="402">
        <v>300</v>
      </c>
      <c r="H37" s="402" t="s">
        <v>360</v>
      </c>
      <c r="I37" s="394">
        <f>+VLOOKUP(E37,'Line items'!$B$3:$D$102,3,FALSE)</f>
        <v>120</v>
      </c>
      <c r="J37" s="403">
        <f t="shared" si="1"/>
        <v>36000</v>
      </c>
      <c r="K37" s="1186">
        <f>+SUM(J37:J38)</f>
        <v>75000</v>
      </c>
      <c r="L37" s="1155">
        <f>+SUM(K37:K40)</f>
        <v>75000</v>
      </c>
      <c r="M37" s="228"/>
      <c r="N37" s="109"/>
      <c r="O37" s="109"/>
      <c r="P37" s="109"/>
      <c r="Q37" s="109"/>
    </row>
    <row r="38" spans="1:17" outlineLevel="1">
      <c r="A38" s="109"/>
      <c r="B38" s="1164"/>
      <c r="C38" s="1160"/>
      <c r="D38" s="1160"/>
      <c r="E38" s="374" t="s">
        <v>661</v>
      </c>
      <c r="F38" s="467"/>
      <c r="G38" s="375">
        <v>300</v>
      </c>
      <c r="H38" s="375" t="s">
        <v>360</v>
      </c>
      <c r="I38" s="376">
        <f>+VLOOKUP(E38,'Line items'!$B$3:$D$102,3,FALSE)</f>
        <v>130</v>
      </c>
      <c r="J38" s="376">
        <f t="shared" si="1"/>
        <v>39000</v>
      </c>
      <c r="K38" s="1180"/>
      <c r="L38" s="1156"/>
      <c r="M38" s="228"/>
      <c r="N38" s="109"/>
      <c r="O38" s="109"/>
      <c r="P38" s="109"/>
      <c r="Q38" s="109"/>
    </row>
    <row r="39" spans="1:17" outlineLevel="1">
      <c r="A39" s="109"/>
      <c r="B39" s="1164"/>
      <c r="C39" s="1160"/>
      <c r="D39" s="620" t="s">
        <v>385</v>
      </c>
      <c r="E39" s="374" t="s">
        <v>88</v>
      </c>
      <c r="F39" s="467"/>
      <c r="G39" s="375"/>
      <c r="H39" s="375"/>
      <c r="I39" s="376"/>
      <c r="J39" s="376">
        <f t="shared" si="1"/>
        <v>0</v>
      </c>
      <c r="K39" s="534">
        <f>+J39</f>
        <v>0</v>
      </c>
      <c r="L39" s="1156"/>
      <c r="M39" s="228"/>
      <c r="N39" s="109"/>
      <c r="O39" s="109"/>
      <c r="P39" s="109"/>
      <c r="Q39" s="109"/>
    </row>
    <row r="40" spans="1:17" ht="14" outlineLevel="1" thickBot="1">
      <c r="A40" s="109"/>
      <c r="B40" s="1165"/>
      <c r="C40" s="1166"/>
      <c r="D40" s="631" t="s">
        <v>386</v>
      </c>
      <c r="E40" s="396" t="s">
        <v>301</v>
      </c>
      <c r="F40" s="468"/>
      <c r="G40" s="397"/>
      <c r="H40" s="397"/>
      <c r="I40" s="398"/>
      <c r="J40" s="398">
        <f t="shared" si="1"/>
        <v>0</v>
      </c>
      <c r="K40" s="551">
        <f t="shared" ref="K40:K41" si="2">+J40</f>
        <v>0</v>
      </c>
      <c r="L40" s="1157"/>
      <c r="M40" s="228"/>
      <c r="N40" s="109"/>
      <c r="O40" s="109"/>
      <c r="P40" s="109"/>
      <c r="Q40" s="109"/>
    </row>
    <row r="41" spans="1:17" outlineLevel="1">
      <c r="A41" s="109"/>
      <c r="B41" s="1170" t="s">
        <v>521</v>
      </c>
      <c r="C41" s="1171"/>
      <c r="D41" s="626" t="s">
        <v>387</v>
      </c>
      <c r="E41" s="419" t="s">
        <v>308</v>
      </c>
      <c r="F41" s="489" t="s">
        <v>494</v>
      </c>
      <c r="G41" s="388">
        <v>150</v>
      </c>
      <c r="H41" s="388" t="s">
        <v>360</v>
      </c>
      <c r="I41" s="389"/>
      <c r="J41" s="389">
        <f t="shared" si="1"/>
        <v>0</v>
      </c>
      <c r="K41" s="627">
        <f t="shared" si="2"/>
        <v>0</v>
      </c>
      <c r="L41" s="1159">
        <f>+SUM(K41:K45)</f>
        <v>67500</v>
      </c>
      <c r="M41" s="228"/>
      <c r="N41" s="109"/>
      <c r="O41" s="109"/>
      <c r="P41" s="109"/>
      <c r="Q41" s="109"/>
    </row>
    <row r="42" spans="1:17" outlineLevel="1">
      <c r="A42" s="109"/>
      <c r="B42" s="1164"/>
      <c r="C42" s="1160"/>
      <c r="D42" s="1160" t="s">
        <v>388</v>
      </c>
      <c r="E42" s="370" t="s">
        <v>662</v>
      </c>
      <c r="F42" s="467" t="s">
        <v>495</v>
      </c>
      <c r="G42" s="371">
        <v>1</v>
      </c>
      <c r="H42" s="371" t="s">
        <v>364</v>
      </c>
      <c r="I42" s="376">
        <f>+VLOOKUP(E42,'Line items'!$B$3:$D$102,3,FALSE)</f>
        <v>30000</v>
      </c>
      <c r="J42" s="372">
        <f t="shared" si="1"/>
        <v>30000</v>
      </c>
      <c r="K42" s="1193">
        <f>+SUM(J42:J44)</f>
        <v>67500</v>
      </c>
      <c r="L42" s="1156"/>
      <c r="M42" s="228"/>
      <c r="N42" s="109"/>
      <c r="O42" s="109"/>
      <c r="P42" s="109"/>
      <c r="Q42" s="109"/>
    </row>
    <row r="43" spans="1:17" outlineLevel="1">
      <c r="A43" s="109"/>
      <c r="B43" s="1164"/>
      <c r="C43" s="1160"/>
      <c r="D43" s="1160"/>
      <c r="E43" s="370" t="s">
        <v>663</v>
      </c>
      <c r="F43" s="467" t="s">
        <v>508</v>
      </c>
      <c r="G43" s="371">
        <v>150</v>
      </c>
      <c r="H43" s="371" t="s">
        <v>360</v>
      </c>
      <c r="I43" s="376">
        <f>+VLOOKUP(E43,'Line items'!$B$3:$D$102,3,FALSE)</f>
        <v>210</v>
      </c>
      <c r="J43" s="372">
        <f t="shared" si="1"/>
        <v>31500</v>
      </c>
      <c r="K43" s="1160"/>
      <c r="L43" s="1156"/>
      <c r="M43" s="228"/>
      <c r="N43" s="109"/>
      <c r="O43" s="109"/>
      <c r="P43" s="109"/>
      <c r="Q43" s="109"/>
    </row>
    <row r="44" spans="1:17" outlineLevel="1">
      <c r="A44" s="109"/>
      <c r="B44" s="1164"/>
      <c r="C44" s="1160"/>
      <c r="D44" s="1160"/>
      <c r="E44" s="370" t="s">
        <v>309</v>
      </c>
      <c r="F44" s="467" t="s">
        <v>494</v>
      </c>
      <c r="G44" s="371">
        <v>150</v>
      </c>
      <c r="H44" s="371" t="s">
        <v>360</v>
      </c>
      <c r="I44" s="376">
        <f>+VLOOKUP(E44,'Line items'!$B$3:$D$102,3,FALSE)</f>
        <v>40</v>
      </c>
      <c r="J44" s="372">
        <f>+I44*G44</f>
        <v>6000</v>
      </c>
      <c r="K44" s="1160"/>
      <c r="L44" s="1156"/>
      <c r="M44" s="228"/>
      <c r="N44" s="109"/>
      <c r="O44" s="109"/>
      <c r="P44" s="109"/>
      <c r="Q44" s="109"/>
    </row>
    <row r="45" spans="1:17" ht="14" outlineLevel="1" thickBot="1">
      <c r="A45" s="109"/>
      <c r="B45" s="1172"/>
      <c r="C45" s="1161"/>
      <c r="D45" s="622" t="s">
        <v>389</v>
      </c>
      <c r="E45" s="382" t="s">
        <v>301</v>
      </c>
      <c r="F45" s="470"/>
      <c r="G45" s="383"/>
      <c r="H45" s="383"/>
      <c r="I45" s="384"/>
      <c r="J45" s="384">
        <f t="shared" si="1"/>
        <v>0</v>
      </c>
      <c r="K45" s="543">
        <f>+J45</f>
        <v>0</v>
      </c>
      <c r="L45" s="1158"/>
      <c r="M45" s="228"/>
      <c r="N45" s="109"/>
      <c r="O45" s="109"/>
      <c r="P45" s="109"/>
      <c r="Q45" s="109"/>
    </row>
    <row r="46" spans="1:17" outlineLevel="1">
      <c r="A46" s="109"/>
      <c r="B46" s="1162" t="s">
        <v>522</v>
      </c>
      <c r="C46" s="1163"/>
      <c r="D46" s="632" t="s">
        <v>390</v>
      </c>
      <c r="E46" s="422" t="s">
        <v>308</v>
      </c>
      <c r="F46" s="469" t="s">
        <v>494</v>
      </c>
      <c r="G46" s="402">
        <v>150</v>
      </c>
      <c r="H46" s="402" t="s">
        <v>360</v>
      </c>
      <c r="I46" s="403"/>
      <c r="J46" s="403">
        <f t="shared" si="1"/>
        <v>0</v>
      </c>
      <c r="K46" s="635">
        <f>+J46</f>
        <v>0</v>
      </c>
      <c r="L46" s="1155">
        <f>+SUM(K46:K50)</f>
        <v>67500</v>
      </c>
      <c r="M46" s="228"/>
      <c r="N46" s="109"/>
      <c r="O46" s="109"/>
      <c r="P46" s="109"/>
      <c r="Q46" s="109"/>
    </row>
    <row r="47" spans="1:17" outlineLevel="1">
      <c r="A47" s="109"/>
      <c r="B47" s="1164"/>
      <c r="C47" s="1160"/>
      <c r="D47" s="1160" t="s">
        <v>391</v>
      </c>
      <c r="E47" s="370" t="s">
        <v>662</v>
      </c>
      <c r="F47" s="467" t="s">
        <v>496</v>
      </c>
      <c r="G47" s="371">
        <v>1</v>
      </c>
      <c r="H47" s="371" t="s">
        <v>364</v>
      </c>
      <c r="I47" s="376">
        <f>+VLOOKUP(E47,'Line items'!$B$3:$D$102,3,FALSE)</f>
        <v>30000</v>
      </c>
      <c r="J47" s="372">
        <f t="shared" si="1"/>
        <v>30000</v>
      </c>
      <c r="K47" s="1193">
        <f>+SUM(J47:J49)</f>
        <v>67500</v>
      </c>
      <c r="L47" s="1156"/>
      <c r="M47" s="228"/>
      <c r="N47" s="109"/>
      <c r="O47" s="109"/>
      <c r="P47" s="109"/>
      <c r="Q47" s="109"/>
    </row>
    <row r="48" spans="1:17" outlineLevel="1">
      <c r="A48" s="109"/>
      <c r="B48" s="1164"/>
      <c r="C48" s="1160"/>
      <c r="D48" s="1160"/>
      <c r="E48" s="370" t="s">
        <v>663</v>
      </c>
      <c r="F48" s="467"/>
      <c r="G48" s="371">
        <v>150</v>
      </c>
      <c r="H48" s="371" t="s">
        <v>360</v>
      </c>
      <c r="I48" s="376">
        <f>+VLOOKUP(E48,'Line items'!$B$3:$D$102,3,FALSE)</f>
        <v>210</v>
      </c>
      <c r="J48" s="372">
        <f t="shared" si="1"/>
        <v>31500</v>
      </c>
      <c r="K48" s="1160"/>
      <c r="L48" s="1156"/>
      <c r="M48" s="228"/>
      <c r="N48" s="109"/>
      <c r="O48" s="109"/>
      <c r="P48" s="109"/>
      <c r="Q48" s="109"/>
    </row>
    <row r="49" spans="1:17" outlineLevel="1">
      <c r="A49" s="109"/>
      <c r="B49" s="1164"/>
      <c r="C49" s="1160"/>
      <c r="D49" s="1160"/>
      <c r="E49" s="370" t="s">
        <v>309</v>
      </c>
      <c r="F49" s="467" t="s">
        <v>494</v>
      </c>
      <c r="G49" s="371">
        <v>150</v>
      </c>
      <c r="H49" s="371" t="s">
        <v>360</v>
      </c>
      <c r="I49" s="376">
        <f>+VLOOKUP(E49,'Line items'!$B$3:$D$102,3,FALSE)</f>
        <v>40</v>
      </c>
      <c r="J49" s="372">
        <f t="shared" si="1"/>
        <v>6000</v>
      </c>
      <c r="K49" s="1160"/>
      <c r="L49" s="1156"/>
      <c r="M49" s="228"/>
      <c r="N49" s="109"/>
      <c r="O49" s="109"/>
      <c r="P49" s="109"/>
      <c r="Q49" s="109"/>
    </row>
    <row r="50" spans="1:17" ht="14" outlineLevel="1" thickBot="1">
      <c r="A50" s="109"/>
      <c r="B50" s="1165"/>
      <c r="C50" s="1166"/>
      <c r="D50" s="631" t="s">
        <v>392</v>
      </c>
      <c r="E50" s="396" t="s">
        <v>301</v>
      </c>
      <c r="F50" s="468"/>
      <c r="G50" s="397"/>
      <c r="H50" s="397"/>
      <c r="I50" s="398"/>
      <c r="J50" s="398">
        <f t="shared" si="1"/>
        <v>0</v>
      </c>
      <c r="K50" s="551">
        <f>+J50</f>
        <v>0</v>
      </c>
      <c r="L50" s="1157"/>
      <c r="M50" s="228"/>
      <c r="N50" s="109"/>
      <c r="O50" s="109"/>
      <c r="P50" s="109"/>
      <c r="Q50" s="109"/>
    </row>
    <row r="51" spans="1:17" ht="14" outlineLevel="1" thickBot="1">
      <c r="A51" s="109"/>
      <c r="B51" s="1197" t="s">
        <v>523</v>
      </c>
      <c r="C51" s="1198"/>
      <c r="D51" s="695" t="s">
        <v>393</v>
      </c>
      <c r="E51" s="696" t="s">
        <v>88</v>
      </c>
      <c r="F51" s="697"/>
      <c r="G51" s="698"/>
      <c r="H51" s="698"/>
      <c r="I51" s="699"/>
      <c r="J51" s="699">
        <f t="shared" si="1"/>
        <v>0</v>
      </c>
      <c r="K51" s="700">
        <f>+J51</f>
        <v>0</v>
      </c>
      <c r="L51" s="701">
        <f>+K51</f>
        <v>0</v>
      </c>
      <c r="M51" s="228"/>
      <c r="N51" s="109"/>
      <c r="O51" s="109"/>
      <c r="P51" s="109"/>
      <c r="Q51" s="109"/>
    </row>
    <row r="52" spans="1:17" ht="14" thickBot="1">
      <c r="A52" s="109"/>
      <c r="B52" s="442">
        <v>1.3</v>
      </c>
      <c r="C52" s="1167" t="s">
        <v>32</v>
      </c>
      <c r="D52" s="1167"/>
      <c r="E52" s="1167"/>
      <c r="F52" s="702"/>
      <c r="G52" s="444"/>
      <c r="H52" s="444"/>
      <c r="I52" s="444"/>
      <c r="J52" s="444"/>
      <c r="K52" s="445"/>
      <c r="L52" s="446"/>
      <c r="M52" s="228"/>
      <c r="N52" s="109"/>
      <c r="O52" s="109"/>
      <c r="P52" s="109"/>
      <c r="Q52" s="109"/>
    </row>
    <row r="53" spans="1:17" ht="14" outlineLevel="1">
      <c r="A53" s="109"/>
      <c r="B53" s="1162" t="s">
        <v>524</v>
      </c>
      <c r="C53" s="1163"/>
      <c r="D53" s="632" t="s">
        <v>396</v>
      </c>
      <c r="E53" s="438" t="s">
        <v>664</v>
      </c>
      <c r="F53" s="687" t="s">
        <v>500</v>
      </c>
      <c r="G53" s="393">
        <v>6</v>
      </c>
      <c r="H53" s="393" t="s">
        <v>364</v>
      </c>
      <c r="I53" s="394">
        <f>+VLOOKUP(E53,'Line items'!$B$3:$D$102,3,FALSE)</f>
        <v>1000</v>
      </c>
      <c r="J53" s="394">
        <f>+I53*G53</f>
        <v>6000</v>
      </c>
      <c r="K53" s="635">
        <f>+J53</f>
        <v>6000</v>
      </c>
      <c r="L53" s="1151">
        <f>+SUM(K53:K55)</f>
        <v>66000</v>
      </c>
      <c r="M53" s="228"/>
      <c r="N53" s="228"/>
      <c r="O53" s="231"/>
      <c r="P53" s="109"/>
      <c r="Q53" s="109"/>
    </row>
    <row r="54" spans="1:17" outlineLevel="1">
      <c r="A54" s="109"/>
      <c r="B54" s="1164"/>
      <c r="C54" s="1160"/>
      <c r="D54" s="620" t="s">
        <v>397</v>
      </c>
      <c r="E54" s="379" t="s">
        <v>665</v>
      </c>
      <c r="F54" s="467"/>
      <c r="G54" s="375">
        <v>300</v>
      </c>
      <c r="H54" s="619" t="s">
        <v>360</v>
      </c>
      <c r="I54" s="372">
        <f>+VLOOKUP(E54,'Line items'!$B$3:$D$102,3,FALSE)</f>
        <v>200</v>
      </c>
      <c r="J54" s="376">
        <f t="shared" si="1"/>
        <v>60000</v>
      </c>
      <c r="K54" s="621">
        <f>+J54</f>
        <v>60000</v>
      </c>
      <c r="L54" s="1149"/>
      <c r="M54" s="228"/>
      <c r="N54" s="109"/>
      <c r="O54" s="109"/>
      <c r="P54" s="109"/>
      <c r="Q54" s="109"/>
    </row>
    <row r="55" spans="1:17" ht="14" outlineLevel="1" thickBot="1">
      <c r="A55" s="109"/>
      <c r="B55" s="1165"/>
      <c r="C55" s="1166"/>
      <c r="D55" s="631" t="s">
        <v>398</v>
      </c>
      <c r="E55" s="439" t="s">
        <v>310</v>
      </c>
      <c r="F55" s="477" t="s">
        <v>754</v>
      </c>
      <c r="G55" s="440"/>
      <c r="H55" s="440"/>
      <c r="I55" s="398"/>
      <c r="J55" s="408">
        <f t="shared" si="1"/>
        <v>0</v>
      </c>
      <c r="K55" s="637">
        <f>+J55</f>
        <v>0</v>
      </c>
      <c r="L55" s="1150"/>
      <c r="M55" s="228"/>
      <c r="N55" s="109"/>
      <c r="O55" s="109"/>
      <c r="P55" s="109"/>
      <c r="Q55" s="109"/>
    </row>
    <row r="56" spans="1:17" ht="14" thickBot="1">
      <c r="A56" s="109"/>
      <c r="B56" s="442">
        <v>1.4</v>
      </c>
      <c r="C56" s="1167" t="s">
        <v>14</v>
      </c>
      <c r="D56" s="1167"/>
      <c r="E56" s="1167"/>
      <c r="F56" s="702"/>
      <c r="G56" s="444"/>
      <c r="H56" s="444"/>
      <c r="I56" s="444"/>
      <c r="J56" s="444"/>
      <c r="K56" s="445"/>
      <c r="L56" s="446"/>
      <c r="M56" s="228"/>
      <c r="N56" s="109"/>
      <c r="O56" s="109"/>
      <c r="P56" s="109"/>
      <c r="Q56" s="109"/>
    </row>
    <row r="57" spans="1:17" outlineLevel="1">
      <c r="A57" s="109"/>
      <c r="B57" s="1162" t="s">
        <v>525</v>
      </c>
      <c r="C57" s="1163"/>
      <c r="D57" s="632" t="s">
        <v>399</v>
      </c>
      <c r="E57" s="401" t="s">
        <v>301</v>
      </c>
      <c r="F57" s="469"/>
      <c r="G57" s="402"/>
      <c r="H57" s="402"/>
      <c r="I57" s="403"/>
      <c r="J57" s="403">
        <f t="shared" si="1"/>
        <v>0</v>
      </c>
      <c r="K57" s="557">
        <f>+J57</f>
        <v>0</v>
      </c>
      <c r="L57" s="1151">
        <f>+SUM(K57:K59)</f>
        <v>0</v>
      </c>
      <c r="M57" s="228"/>
      <c r="N57" s="109"/>
      <c r="O57" s="109"/>
      <c r="P57" s="109"/>
      <c r="Q57" s="109"/>
    </row>
    <row r="58" spans="1:17" outlineLevel="1">
      <c r="A58" s="109"/>
      <c r="B58" s="1164"/>
      <c r="C58" s="1160"/>
      <c r="D58" s="620" t="s">
        <v>400</v>
      </c>
      <c r="E58" s="374" t="s">
        <v>301</v>
      </c>
      <c r="F58" s="467"/>
      <c r="G58" s="375"/>
      <c r="H58" s="375"/>
      <c r="I58" s="376"/>
      <c r="J58" s="376">
        <f t="shared" si="1"/>
        <v>0</v>
      </c>
      <c r="K58" s="534">
        <f t="shared" ref="K58:K59" si="3">+J58</f>
        <v>0</v>
      </c>
      <c r="L58" s="1149"/>
      <c r="M58" s="228"/>
      <c r="N58" s="109"/>
      <c r="O58" s="109"/>
      <c r="P58" s="109"/>
      <c r="Q58" s="109"/>
    </row>
    <row r="59" spans="1:17" ht="14" outlineLevel="1" thickBot="1">
      <c r="A59" s="109"/>
      <c r="B59" s="1165"/>
      <c r="C59" s="1166"/>
      <c r="D59" s="631" t="s">
        <v>401</v>
      </c>
      <c r="E59" s="396" t="s">
        <v>301</v>
      </c>
      <c r="F59" s="468"/>
      <c r="G59" s="397"/>
      <c r="H59" s="397"/>
      <c r="I59" s="398"/>
      <c r="J59" s="398">
        <f t="shared" si="1"/>
        <v>0</v>
      </c>
      <c r="K59" s="551">
        <f t="shared" si="3"/>
        <v>0</v>
      </c>
      <c r="L59" s="1150"/>
      <c r="M59" s="228"/>
      <c r="N59" s="109"/>
      <c r="O59" s="109"/>
      <c r="P59" s="109"/>
      <c r="Q59" s="109"/>
    </row>
    <row r="60" spans="1:17" ht="14" thickBot="1">
      <c r="A60" s="109"/>
      <c r="B60" s="442">
        <v>1.5</v>
      </c>
      <c r="C60" s="1167" t="s">
        <v>16</v>
      </c>
      <c r="D60" s="1167"/>
      <c r="E60" s="1167"/>
      <c r="F60" s="702"/>
      <c r="G60" s="444"/>
      <c r="H60" s="444"/>
      <c r="I60" s="444"/>
      <c r="J60" s="444"/>
      <c r="K60" s="445"/>
      <c r="L60" s="446"/>
      <c r="M60" s="228"/>
      <c r="N60" s="109"/>
      <c r="O60" s="109"/>
      <c r="P60" s="109"/>
      <c r="Q60" s="109"/>
    </row>
    <row r="61" spans="1:17" outlineLevel="1">
      <c r="A61" s="109"/>
      <c r="B61" s="1162" t="s">
        <v>526</v>
      </c>
      <c r="C61" s="1163"/>
      <c r="D61" s="1163" t="s">
        <v>402</v>
      </c>
      <c r="E61" s="392" t="s">
        <v>490</v>
      </c>
      <c r="F61" s="469"/>
      <c r="G61" s="393">
        <v>1</v>
      </c>
      <c r="H61" s="393" t="s">
        <v>364</v>
      </c>
      <c r="I61" s="394">
        <f>+VLOOKUP(E61,'Line items'!$B$3:$D$102,3,FALSE)</f>
        <v>5000</v>
      </c>
      <c r="J61" s="394">
        <f t="shared" si="1"/>
        <v>5000</v>
      </c>
      <c r="K61" s="1194">
        <f>+SUM(J61:J62)</f>
        <v>6000</v>
      </c>
      <c r="L61" s="1151">
        <f>+SUM(K61:K65)</f>
        <v>17000</v>
      </c>
      <c r="M61" s="228"/>
      <c r="N61" s="109"/>
      <c r="O61" s="109"/>
      <c r="P61" s="109"/>
      <c r="Q61" s="109"/>
    </row>
    <row r="62" spans="1:17" outlineLevel="1">
      <c r="A62" s="109"/>
      <c r="B62" s="1164"/>
      <c r="C62" s="1160"/>
      <c r="D62" s="1160"/>
      <c r="E62" s="370" t="s">
        <v>667</v>
      </c>
      <c r="F62" s="467" t="s">
        <v>666</v>
      </c>
      <c r="G62" s="371">
        <f>+G61</f>
        <v>1</v>
      </c>
      <c r="H62" s="371" t="s">
        <v>364</v>
      </c>
      <c r="I62" s="372">
        <f>+VLOOKUP(E62,'Line items'!$B$3:$D$102,3,FALSE)</f>
        <v>1000</v>
      </c>
      <c r="J62" s="372">
        <f t="shared" si="1"/>
        <v>1000</v>
      </c>
      <c r="K62" s="1160"/>
      <c r="L62" s="1149"/>
      <c r="M62" s="228"/>
      <c r="N62" s="109"/>
      <c r="O62" s="109"/>
      <c r="P62" s="109"/>
      <c r="Q62" s="109"/>
    </row>
    <row r="63" spans="1:17" outlineLevel="1">
      <c r="A63" s="109"/>
      <c r="B63" s="1164"/>
      <c r="C63" s="1160"/>
      <c r="D63" s="1160" t="s">
        <v>403</v>
      </c>
      <c r="E63" s="370" t="s">
        <v>313</v>
      </c>
      <c r="F63" s="467" t="s">
        <v>745</v>
      </c>
      <c r="G63" s="371">
        <v>30</v>
      </c>
      <c r="H63" s="371" t="s">
        <v>360</v>
      </c>
      <c r="I63" s="372">
        <f>+VLOOKUP(E63,'Line items'!$B$3:$D$102,3,FALSE)</f>
        <v>200</v>
      </c>
      <c r="J63" s="372">
        <f t="shared" si="1"/>
        <v>6000</v>
      </c>
      <c r="K63" s="1193">
        <f>+SUM(J63:J64)</f>
        <v>11000</v>
      </c>
      <c r="L63" s="1149"/>
      <c r="M63" s="228"/>
      <c r="N63" s="109"/>
      <c r="O63" s="109"/>
      <c r="P63" s="109"/>
      <c r="Q63" s="109"/>
    </row>
    <row r="64" spans="1:17" outlineLevel="1">
      <c r="A64" s="109"/>
      <c r="B64" s="1164"/>
      <c r="C64" s="1160"/>
      <c r="D64" s="1160"/>
      <c r="E64" s="370" t="s">
        <v>490</v>
      </c>
      <c r="F64" s="467"/>
      <c r="G64" s="371">
        <f>+G61</f>
        <v>1</v>
      </c>
      <c r="H64" s="371" t="s">
        <v>364</v>
      </c>
      <c r="I64" s="372">
        <f>+VLOOKUP(E64,'Line items'!$B$3:$D$102,3,FALSE)</f>
        <v>5000</v>
      </c>
      <c r="J64" s="372">
        <f t="shared" si="1"/>
        <v>5000</v>
      </c>
      <c r="K64" s="1160"/>
      <c r="L64" s="1149"/>
      <c r="M64" s="228"/>
      <c r="N64" s="109"/>
      <c r="O64" s="109"/>
      <c r="P64" s="109"/>
      <c r="Q64" s="109"/>
    </row>
    <row r="65" spans="1:17" ht="14" outlineLevel="1" thickBot="1">
      <c r="A65" s="109"/>
      <c r="B65" s="1165"/>
      <c r="C65" s="1166"/>
      <c r="D65" s="631" t="s">
        <v>404</v>
      </c>
      <c r="E65" s="439" t="s">
        <v>88</v>
      </c>
      <c r="F65" s="468"/>
      <c r="G65" s="440"/>
      <c r="H65" s="440"/>
      <c r="I65" s="408"/>
      <c r="J65" s="408">
        <f t="shared" si="1"/>
        <v>0</v>
      </c>
      <c r="K65" s="637">
        <f>+J65</f>
        <v>0</v>
      </c>
      <c r="L65" s="1150"/>
      <c r="M65" s="228"/>
      <c r="N65" s="109"/>
      <c r="O65" s="109"/>
      <c r="P65" s="109"/>
      <c r="Q65" s="109"/>
    </row>
    <row r="66" spans="1:17" ht="14" thickBot="1">
      <c r="A66" s="109"/>
      <c r="B66" s="457">
        <v>1.6</v>
      </c>
      <c r="C66" s="1168" t="s">
        <v>18</v>
      </c>
      <c r="D66" s="1168"/>
      <c r="E66" s="1168"/>
      <c r="F66" s="703"/>
      <c r="G66" s="458"/>
      <c r="H66" s="458"/>
      <c r="I66" s="458"/>
      <c r="J66" s="458"/>
      <c r="K66" s="459"/>
      <c r="L66" s="581"/>
      <c r="M66" s="228"/>
      <c r="N66" s="109"/>
      <c r="O66" s="109"/>
      <c r="P66" s="109"/>
      <c r="Q66" s="109"/>
    </row>
    <row r="67" spans="1:17" outlineLevel="1">
      <c r="A67" s="109"/>
      <c r="B67" s="1162" t="s">
        <v>527</v>
      </c>
      <c r="C67" s="1163"/>
      <c r="D67" s="1163" t="s">
        <v>405</v>
      </c>
      <c r="E67" s="422" t="s">
        <v>492</v>
      </c>
      <c r="F67" s="469"/>
      <c r="G67" s="402"/>
      <c r="H67" s="402"/>
      <c r="I67" s="403"/>
      <c r="J67" s="403"/>
      <c r="K67" s="1194">
        <f>+SUM(J67:J68)</f>
        <v>1500</v>
      </c>
      <c r="L67" s="1151">
        <f>+SUM(K67:K70)</f>
        <v>26500</v>
      </c>
      <c r="M67" s="228"/>
      <c r="N67" s="109"/>
      <c r="O67" s="109"/>
      <c r="P67" s="109"/>
      <c r="Q67" s="109"/>
    </row>
    <row r="68" spans="1:17" outlineLevel="1">
      <c r="A68" s="109"/>
      <c r="B68" s="1164"/>
      <c r="C68" s="1160"/>
      <c r="D68" s="1160"/>
      <c r="E68" s="370" t="s">
        <v>668</v>
      </c>
      <c r="F68" s="466" t="s">
        <v>493</v>
      </c>
      <c r="G68" s="371">
        <v>1</v>
      </c>
      <c r="H68" s="371" t="s">
        <v>364</v>
      </c>
      <c r="I68" s="372">
        <f>+VLOOKUP(E68,'Line items'!$B$3:$D$102,3,FALSE)</f>
        <v>1500</v>
      </c>
      <c r="J68" s="372">
        <f>+I68*G68</f>
        <v>1500</v>
      </c>
      <c r="K68" s="1193"/>
      <c r="L68" s="1149"/>
      <c r="M68" s="228"/>
      <c r="N68" s="109"/>
      <c r="O68" s="109"/>
      <c r="P68" s="109"/>
      <c r="Q68" s="109"/>
    </row>
    <row r="69" spans="1:17" outlineLevel="1">
      <c r="A69" s="109"/>
      <c r="B69" s="1164"/>
      <c r="C69" s="1160"/>
      <c r="D69" s="620" t="s">
        <v>406</v>
      </c>
      <c r="E69" s="370" t="s">
        <v>338</v>
      </c>
      <c r="F69" s="467"/>
      <c r="G69" s="371">
        <v>1</v>
      </c>
      <c r="H69" s="371" t="s">
        <v>364</v>
      </c>
      <c r="I69" s="372">
        <f>+VLOOKUP(E69,'Line items'!$B$3:$D$102,3,FALSE)</f>
        <v>10000</v>
      </c>
      <c r="J69" s="372">
        <f>+I69*G69</f>
        <v>10000</v>
      </c>
      <c r="K69" s="621">
        <f t="shared" ref="K69:K73" si="4">+J69</f>
        <v>10000</v>
      </c>
      <c r="L69" s="1149"/>
      <c r="M69" s="228"/>
      <c r="N69" s="109"/>
      <c r="O69" s="109"/>
      <c r="P69" s="109"/>
      <c r="Q69" s="109"/>
    </row>
    <row r="70" spans="1:17" ht="14" outlineLevel="1" thickBot="1">
      <c r="A70" s="109"/>
      <c r="B70" s="1172"/>
      <c r="C70" s="1161"/>
      <c r="D70" s="622" t="s">
        <v>407</v>
      </c>
      <c r="E70" s="427" t="s">
        <v>339</v>
      </c>
      <c r="F70" s="470"/>
      <c r="G70" s="428">
        <v>1</v>
      </c>
      <c r="H70" s="428" t="s">
        <v>364</v>
      </c>
      <c r="I70" s="426">
        <f>+VLOOKUP(E70,'Line items'!$B$3:$D$102,3,FALSE)</f>
        <v>15000</v>
      </c>
      <c r="J70" s="426">
        <f t="shared" si="1"/>
        <v>15000</v>
      </c>
      <c r="K70" s="625">
        <f t="shared" si="4"/>
        <v>15000</v>
      </c>
      <c r="L70" s="1154"/>
      <c r="M70" s="228"/>
      <c r="N70" s="228"/>
      <c r="O70" s="109"/>
      <c r="P70" s="109"/>
      <c r="Q70" s="109"/>
    </row>
    <row r="71" spans="1:17" ht="14" thickBot="1">
      <c r="A71" s="109"/>
      <c r="B71" s="442">
        <v>1.7</v>
      </c>
      <c r="C71" s="1167" t="s">
        <v>33</v>
      </c>
      <c r="D71" s="1167"/>
      <c r="E71" s="1167"/>
      <c r="F71" s="702"/>
      <c r="G71" s="444"/>
      <c r="H71" s="444"/>
      <c r="I71" s="444"/>
      <c r="J71" s="444"/>
      <c r="K71" s="445"/>
      <c r="L71" s="446"/>
      <c r="M71" s="228"/>
      <c r="N71" s="109"/>
      <c r="O71" s="109"/>
      <c r="P71" s="109"/>
      <c r="Q71" s="109"/>
    </row>
    <row r="72" spans="1:17" outlineLevel="1">
      <c r="A72" s="109"/>
      <c r="B72" s="1170" t="s">
        <v>528</v>
      </c>
      <c r="C72" s="1171"/>
      <c r="D72" s="626" t="s">
        <v>408</v>
      </c>
      <c r="E72" s="387" t="s">
        <v>88</v>
      </c>
      <c r="F72" s="489"/>
      <c r="G72" s="388"/>
      <c r="H72" s="388"/>
      <c r="I72" s="389"/>
      <c r="J72" s="389">
        <f t="shared" si="1"/>
        <v>0</v>
      </c>
      <c r="K72" s="545">
        <f t="shared" si="4"/>
        <v>0</v>
      </c>
      <c r="L72" s="1148">
        <f>+SUM(K72:K77)</f>
        <v>57500</v>
      </c>
      <c r="M72" s="228"/>
      <c r="N72" s="109"/>
      <c r="O72" s="109"/>
      <c r="P72" s="109"/>
      <c r="Q72" s="109"/>
    </row>
    <row r="73" spans="1:17" outlineLevel="1">
      <c r="A73" s="109"/>
      <c r="B73" s="1164"/>
      <c r="C73" s="1160"/>
      <c r="D73" s="620" t="s">
        <v>409</v>
      </c>
      <c r="E73" s="374" t="s">
        <v>88</v>
      </c>
      <c r="F73" s="467"/>
      <c r="G73" s="375"/>
      <c r="H73" s="375"/>
      <c r="I73" s="376"/>
      <c r="J73" s="376">
        <f t="shared" si="1"/>
        <v>0</v>
      </c>
      <c r="K73" s="534">
        <f t="shared" si="4"/>
        <v>0</v>
      </c>
      <c r="L73" s="1149"/>
      <c r="M73" s="228"/>
      <c r="N73" s="109"/>
      <c r="O73" s="109"/>
      <c r="P73" s="109"/>
      <c r="Q73" s="109"/>
    </row>
    <row r="74" spans="1:17" outlineLevel="1">
      <c r="A74" s="109"/>
      <c r="B74" s="1164"/>
      <c r="C74" s="1160"/>
      <c r="D74" s="1160"/>
      <c r="E74" s="456" t="s">
        <v>669</v>
      </c>
      <c r="F74" s="686" t="s">
        <v>497</v>
      </c>
      <c r="G74" s="375">
        <v>1</v>
      </c>
      <c r="H74" s="375" t="s">
        <v>364</v>
      </c>
      <c r="I74" s="372">
        <f>+VLOOKUP(E74,'Line items'!$B$3:$D$102,3,FALSE)</f>
        <v>57500</v>
      </c>
      <c r="J74" s="376">
        <f t="shared" si="1"/>
        <v>57500</v>
      </c>
      <c r="K74" s="1192">
        <f>+SUM(J74:J77)</f>
        <v>57500</v>
      </c>
      <c r="L74" s="1149"/>
      <c r="M74" s="228"/>
      <c r="N74" s="109"/>
      <c r="O74" s="109"/>
      <c r="P74" s="109"/>
      <c r="Q74" s="109"/>
    </row>
    <row r="75" spans="1:17" outlineLevel="1">
      <c r="A75" s="109"/>
      <c r="B75" s="1164"/>
      <c r="C75" s="1160"/>
      <c r="D75" s="1160"/>
      <c r="E75" s="456" t="s">
        <v>670</v>
      </c>
      <c r="F75" s="686"/>
      <c r="G75" s="375"/>
      <c r="H75" s="375" t="s">
        <v>364</v>
      </c>
      <c r="I75" s="372">
        <f>+VLOOKUP(E75,'Line items'!$B$3:$D$102,3,FALSE)</f>
        <v>53750</v>
      </c>
      <c r="J75" s="376">
        <f t="shared" si="1"/>
        <v>0</v>
      </c>
      <c r="K75" s="1192"/>
      <c r="L75" s="1149"/>
      <c r="M75" s="228"/>
      <c r="N75" s="109"/>
      <c r="O75" s="109"/>
      <c r="P75" s="109"/>
      <c r="Q75" s="109"/>
    </row>
    <row r="76" spans="1:17" outlineLevel="1">
      <c r="A76" s="109"/>
      <c r="B76" s="1164"/>
      <c r="C76" s="1160"/>
      <c r="D76" s="1160"/>
      <c r="E76" s="374" t="s">
        <v>671</v>
      </c>
      <c r="F76" s="467"/>
      <c r="G76" s="375"/>
      <c r="H76" s="375" t="s">
        <v>364</v>
      </c>
      <c r="I76" s="372">
        <f>+VLOOKUP(E76,'Line items'!$B$3:$D$102,3,FALSE)</f>
        <v>127500</v>
      </c>
      <c r="J76" s="376">
        <f t="shared" si="1"/>
        <v>0</v>
      </c>
      <c r="K76" s="1192"/>
      <c r="L76" s="1149"/>
      <c r="M76" s="228"/>
      <c r="N76" s="109"/>
      <c r="O76" s="109"/>
      <c r="P76" s="109"/>
      <c r="Q76" s="109"/>
    </row>
    <row r="77" spans="1:17" ht="14" outlineLevel="1" thickBot="1">
      <c r="A77" s="109"/>
      <c r="B77" s="1172"/>
      <c r="C77" s="1161"/>
      <c r="D77" s="1161"/>
      <c r="E77" s="382" t="s">
        <v>672</v>
      </c>
      <c r="F77" s="470"/>
      <c r="G77" s="383"/>
      <c r="H77" s="383" t="s">
        <v>364</v>
      </c>
      <c r="I77" s="426">
        <f>+VLOOKUP(E77,'Line items'!$B$3:$D$102,3,FALSE)</f>
        <v>127500</v>
      </c>
      <c r="J77" s="384">
        <f t="shared" si="1"/>
        <v>0</v>
      </c>
      <c r="K77" s="1195"/>
      <c r="L77" s="1154"/>
      <c r="M77" s="228"/>
      <c r="N77" s="109"/>
      <c r="O77" s="109"/>
      <c r="P77" s="109"/>
      <c r="Q77" s="109"/>
    </row>
    <row r="78" spans="1:17" outlineLevel="1">
      <c r="A78" s="109"/>
      <c r="B78" s="1162" t="s">
        <v>529</v>
      </c>
      <c r="C78" s="1163"/>
      <c r="D78" s="632" t="s">
        <v>411</v>
      </c>
      <c r="E78" s="401" t="s">
        <v>88</v>
      </c>
      <c r="F78" s="469"/>
      <c r="G78" s="402"/>
      <c r="H78" s="402"/>
      <c r="I78" s="403"/>
      <c r="J78" s="403">
        <f t="shared" si="1"/>
        <v>0</v>
      </c>
      <c r="K78" s="557">
        <f>+J78</f>
        <v>0</v>
      </c>
      <c r="L78" s="1151">
        <f>+SUM(K78:K83)</f>
        <v>57500</v>
      </c>
      <c r="M78" s="228"/>
      <c r="N78" s="109"/>
      <c r="O78" s="109"/>
      <c r="P78" s="109"/>
      <c r="Q78" s="109"/>
    </row>
    <row r="79" spans="1:17" outlineLevel="1">
      <c r="A79" s="109"/>
      <c r="B79" s="1164"/>
      <c r="C79" s="1160"/>
      <c r="D79" s="620" t="s">
        <v>412</v>
      </c>
      <c r="E79" s="374" t="s">
        <v>88</v>
      </c>
      <c r="F79" s="467"/>
      <c r="G79" s="375"/>
      <c r="H79" s="375"/>
      <c r="I79" s="376"/>
      <c r="J79" s="376">
        <f t="shared" si="1"/>
        <v>0</v>
      </c>
      <c r="K79" s="534">
        <f>+J79</f>
        <v>0</v>
      </c>
      <c r="L79" s="1149"/>
      <c r="M79" s="228"/>
      <c r="N79" s="109"/>
      <c r="O79" s="109"/>
      <c r="P79" s="109"/>
      <c r="Q79" s="109"/>
    </row>
    <row r="80" spans="1:17" outlineLevel="1">
      <c r="A80" s="109"/>
      <c r="B80" s="1164"/>
      <c r="C80" s="1160"/>
      <c r="D80" s="1160"/>
      <c r="E80" s="456" t="s">
        <v>669</v>
      </c>
      <c r="F80" s="686" t="s">
        <v>497</v>
      </c>
      <c r="G80" s="375">
        <v>1</v>
      </c>
      <c r="H80" s="375" t="s">
        <v>364</v>
      </c>
      <c r="I80" s="372">
        <f>+VLOOKUP(E80,'Line items'!$B$3:$D$102,3,FALSE)</f>
        <v>57500</v>
      </c>
      <c r="J80" s="376">
        <f t="shared" ref="J80:J83" si="5">+I80*G80</f>
        <v>57500</v>
      </c>
      <c r="K80" s="1192">
        <f>+SUM(J80:J83)</f>
        <v>57500</v>
      </c>
      <c r="L80" s="1149"/>
      <c r="M80" s="228"/>
      <c r="N80" s="109"/>
      <c r="O80" s="109"/>
      <c r="P80" s="109"/>
      <c r="Q80" s="109"/>
    </row>
    <row r="81" spans="1:17" outlineLevel="1">
      <c r="A81" s="109"/>
      <c r="B81" s="1164"/>
      <c r="C81" s="1160"/>
      <c r="D81" s="1160"/>
      <c r="E81" s="456" t="s">
        <v>670</v>
      </c>
      <c r="F81" s="686"/>
      <c r="G81" s="375"/>
      <c r="H81" s="375" t="s">
        <v>364</v>
      </c>
      <c r="I81" s="372">
        <f>+VLOOKUP(E81,'Line items'!$B$3:$D$102,3,FALSE)</f>
        <v>53750</v>
      </c>
      <c r="J81" s="376">
        <f t="shared" si="5"/>
        <v>0</v>
      </c>
      <c r="K81" s="1192"/>
      <c r="L81" s="1149"/>
      <c r="M81" s="228"/>
      <c r="N81" s="109"/>
      <c r="O81" s="109"/>
      <c r="P81" s="109"/>
      <c r="Q81" s="109"/>
    </row>
    <row r="82" spans="1:17" outlineLevel="1">
      <c r="A82" s="109"/>
      <c r="B82" s="1164"/>
      <c r="C82" s="1160"/>
      <c r="D82" s="1160"/>
      <c r="E82" s="374" t="s">
        <v>671</v>
      </c>
      <c r="F82" s="467"/>
      <c r="G82" s="375"/>
      <c r="H82" s="375" t="s">
        <v>364</v>
      </c>
      <c r="I82" s="372">
        <f>+VLOOKUP(E82,'Line items'!$B$3:$D$102,3,FALSE)</f>
        <v>127500</v>
      </c>
      <c r="J82" s="376">
        <f t="shared" si="5"/>
        <v>0</v>
      </c>
      <c r="K82" s="1192"/>
      <c r="L82" s="1149"/>
      <c r="M82" s="228"/>
      <c r="N82" s="109"/>
      <c r="O82" s="109"/>
      <c r="P82" s="109"/>
      <c r="Q82" s="109"/>
    </row>
    <row r="83" spans="1:17" ht="14" outlineLevel="1" thickBot="1">
      <c r="A83" s="109"/>
      <c r="B83" s="1165"/>
      <c r="C83" s="1166"/>
      <c r="D83" s="1166"/>
      <c r="E83" s="396" t="s">
        <v>672</v>
      </c>
      <c r="F83" s="468"/>
      <c r="G83" s="397"/>
      <c r="H83" s="397" t="s">
        <v>364</v>
      </c>
      <c r="I83" s="408">
        <f>+VLOOKUP(E83,'Line items'!$B$3:$D$102,3,FALSE)</f>
        <v>127500</v>
      </c>
      <c r="J83" s="398">
        <f t="shared" si="5"/>
        <v>0</v>
      </c>
      <c r="K83" s="1196"/>
      <c r="L83" s="1150"/>
      <c r="M83" s="228"/>
      <c r="N83" s="109"/>
      <c r="O83" s="109"/>
      <c r="P83" s="109"/>
      <c r="Q83" s="109"/>
    </row>
    <row r="84" spans="1:17" outlineLevel="1">
      <c r="A84" s="109"/>
      <c r="B84" s="1170" t="s">
        <v>530</v>
      </c>
      <c r="C84" s="1171"/>
      <c r="D84" s="626" t="s">
        <v>414</v>
      </c>
      <c r="E84" s="387" t="s">
        <v>88</v>
      </c>
      <c r="F84" s="489"/>
      <c r="G84" s="388"/>
      <c r="H84" s="388"/>
      <c r="I84" s="389"/>
      <c r="J84" s="389">
        <f t="shared" si="1"/>
        <v>0</v>
      </c>
      <c r="K84" s="545">
        <f>+J84</f>
        <v>0</v>
      </c>
      <c r="L84" s="1148">
        <f>+SUM(K84:K89)</f>
        <v>57500</v>
      </c>
      <c r="M84" s="228"/>
      <c r="N84" s="109"/>
      <c r="O84" s="109"/>
      <c r="P84" s="109"/>
      <c r="Q84" s="109"/>
    </row>
    <row r="85" spans="1:17" outlineLevel="1">
      <c r="A85" s="109"/>
      <c r="B85" s="1164"/>
      <c r="C85" s="1160"/>
      <c r="D85" s="620" t="s">
        <v>415</v>
      </c>
      <c r="E85" s="374" t="s">
        <v>88</v>
      </c>
      <c r="F85" s="467"/>
      <c r="G85" s="375"/>
      <c r="H85" s="375"/>
      <c r="I85" s="376"/>
      <c r="J85" s="376">
        <f t="shared" si="1"/>
        <v>0</v>
      </c>
      <c r="K85" s="534">
        <f>+J85</f>
        <v>0</v>
      </c>
      <c r="L85" s="1149"/>
      <c r="M85" s="228"/>
      <c r="N85" s="109"/>
      <c r="O85" s="109"/>
      <c r="P85" s="109"/>
      <c r="Q85" s="109"/>
    </row>
    <row r="86" spans="1:17" outlineLevel="1">
      <c r="A86" s="109"/>
      <c r="B86" s="1164"/>
      <c r="C86" s="1160"/>
      <c r="D86" s="1160"/>
      <c r="E86" s="456" t="s">
        <v>669</v>
      </c>
      <c r="F86" s="686" t="s">
        <v>497</v>
      </c>
      <c r="G86" s="375">
        <v>1</v>
      </c>
      <c r="H86" s="375" t="s">
        <v>364</v>
      </c>
      <c r="I86" s="372">
        <f>+VLOOKUP(E86,'Line items'!$B$3:$D$102,3,FALSE)</f>
        <v>57500</v>
      </c>
      <c r="J86" s="376">
        <f t="shared" si="1"/>
        <v>57500</v>
      </c>
      <c r="K86" s="1192">
        <f>+SUM(J86:J89)</f>
        <v>57500</v>
      </c>
      <c r="L86" s="1149"/>
      <c r="M86" s="228"/>
      <c r="N86" s="109"/>
      <c r="O86" s="109"/>
      <c r="P86" s="109"/>
      <c r="Q86" s="109"/>
    </row>
    <row r="87" spans="1:17" outlineLevel="1">
      <c r="A87" s="109"/>
      <c r="B87" s="1164"/>
      <c r="C87" s="1160"/>
      <c r="D87" s="1160"/>
      <c r="E87" s="456" t="s">
        <v>670</v>
      </c>
      <c r="F87" s="686"/>
      <c r="G87" s="375"/>
      <c r="H87" s="375" t="s">
        <v>364</v>
      </c>
      <c r="I87" s="372">
        <f>+VLOOKUP(E87,'Line items'!$B$3:$D$102,3,FALSE)</f>
        <v>53750</v>
      </c>
      <c r="J87" s="376">
        <f t="shared" si="1"/>
        <v>0</v>
      </c>
      <c r="K87" s="1192"/>
      <c r="L87" s="1149"/>
      <c r="M87" s="228"/>
      <c r="N87" s="109"/>
      <c r="O87" s="109"/>
      <c r="P87" s="109"/>
      <c r="Q87" s="109"/>
    </row>
    <row r="88" spans="1:17" outlineLevel="1">
      <c r="A88" s="109"/>
      <c r="B88" s="1164"/>
      <c r="C88" s="1160"/>
      <c r="D88" s="1160"/>
      <c r="E88" s="374" t="s">
        <v>671</v>
      </c>
      <c r="F88" s="467"/>
      <c r="G88" s="375"/>
      <c r="H88" s="375" t="s">
        <v>364</v>
      </c>
      <c r="I88" s="372">
        <f>+VLOOKUP(E88,'Line items'!$B$3:$D$102,3,FALSE)</f>
        <v>127500</v>
      </c>
      <c r="J88" s="376">
        <f t="shared" si="1"/>
        <v>0</v>
      </c>
      <c r="K88" s="1192"/>
      <c r="L88" s="1149"/>
      <c r="M88" s="228"/>
      <c r="N88" s="109"/>
      <c r="O88" s="109"/>
      <c r="P88" s="109"/>
      <c r="Q88" s="109"/>
    </row>
    <row r="89" spans="1:17" ht="14" outlineLevel="1" thickBot="1">
      <c r="A89" s="109"/>
      <c r="B89" s="1172"/>
      <c r="C89" s="1161"/>
      <c r="D89" s="1161"/>
      <c r="E89" s="382" t="s">
        <v>672</v>
      </c>
      <c r="F89" s="470"/>
      <c r="G89" s="383"/>
      <c r="H89" s="383" t="s">
        <v>364</v>
      </c>
      <c r="I89" s="426">
        <f>+VLOOKUP(E89,'Line items'!$B$3:$D$102,3,FALSE)</f>
        <v>127500</v>
      </c>
      <c r="J89" s="384">
        <f t="shared" si="1"/>
        <v>0</v>
      </c>
      <c r="K89" s="1195"/>
      <c r="L89" s="1154"/>
      <c r="M89" s="228"/>
      <c r="N89" s="109"/>
      <c r="O89" s="109"/>
      <c r="P89" s="109"/>
      <c r="Q89" s="109"/>
    </row>
    <row r="90" spans="1:17" outlineLevel="1">
      <c r="A90" s="109"/>
      <c r="B90" s="1162" t="s">
        <v>531</v>
      </c>
      <c r="C90" s="1163"/>
      <c r="D90" s="632" t="s">
        <v>417</v>
      </c>
      <c r="E90" s="401" t="s">
        <v>88</v>
      </c>
      <c r="F90" s="469"/>
      <c r="G90" s="402"/>
      <c r="H90" s="402"/>
      <c r="I90" s="403"/>
      <c r="J90" s="403">
        <f t="shared" si="1"/>
        <v>0</v>
      </c>
      <c r="K90" s="557">
        <f>+J90</f>
        <v>0</v>
      </c>
      <c r="L90" s="1151">
        <f>+SUM(K90:K95)</f>
        <v>57500</v>
      </c>
      <c r="M90" s="228"/>
      <c r="N90" s="109"/>
      <c r="O90" s="109"/>
      <c r="P90" s="109"/>
      <c r="Q90" s="109"/>
    </row>
    <row r="91" spans="1:17" outlineLevel="1">
      <c r="A91" s="109"/>
      <c r="B91" s="1164"/>
      <c r="C91" s="1160"/>
      <c r="D91" s="620" t="s">
        <v>418</v>
      </c>
      <c r="E91" s="374" t="s">
        <v>88</v>
      </c>
      <c r="F91" s="467"/>
      <c r="G91" s="375"/>
      <c r="H91" s="375"/>
      <c r="I91" s="376"/>
      <c r="J91" s="376">
        <f t="shared" si="1"/>
        <v>0</v>
      </c>
      <c r="K91" s="534">
        <f>+J91</f>
        <v>0</v>
      </c>
      <c r="L91" s="1149"/>
      <c r="M91" s="228"/>
      <c r="N91" s="109"/>
      <c r="O91" s="109"/>
      <c r="P91" s="109"/>
      <c r="Q91" s="109"/>
    </row>
    <row r="92" spans="1:17" outlineLevel="1">
      <c r="A92" s="109"/>
      <c r="B92" s="1164"/>
      <c r="C92" s="1160"/>
      <c r="D92" s="1160"/>
      <c r="E92" s="456" t="s">
        <v>669</v>
      </c>
      <c r="F92" s="686" t="s">
        <v>497</v>
      </c>
      <c r="G92" s="371">
        <v>1</v>
      </c>
      <c r="H92" s="371" t="s">
        <v>364</v>
      </c>
      <c r="I92" s="372">
        <f>+VLOOKUP(E92,'Line items'!$B$3:$D$102,3,FALSE)</f>
        <v>57500</v>
      </c>
      <c r="J92" s="372">
        <f t="shared" ref="J92:J95" si="6">+I92*G92</f>
        <v>57500</v>
      </c>
      <c r="K92" s="1192">
        <f>+SUM(J92:J95)</f>
        <v>57500</v>
      </c>
      <c r="L92" s="1149"/>
      <c r="M92" s="228"/>
      <c r="N92" s="109"/>
      <c r="O92" s="109"/>
      <c r="P92" s="109"/>
      <c r="Q92" s="109"/>
    </row>
    <row r="93" spans="1:17" outlineLevel="1">
      <c r="A93" s="109"/>
      <c r="B93" s="1164"/>
      <c r="C93" s="1160"/>
      <c r="D93" s="1160"/>
      <c r="E93" s="456" t="s">
        <v>670</v>
      </c>
      <c r="F93" s="686"/>
      <c r="G93" s="371"/>
      <c r="H93" s="371" t="s">
        <v>364</v>
      </c>
      <c r="I93" s="372">
        <f>+VLOOKUP(E93,'Line items'!$B$3:$D$102,3,FALSE)</f>
        <v>53750</v>
      </c>
      <c r="J93" s="372">
        <f t="shared" si="6"/>
        <v>0</v>
      </c>
      <c r="K93" s="1192"/>
      <c r="L93" s="1149"/>
      <c r="M93" s="228"/>
      <c r="N93" s="109"/>
      <c r="O93" s="109"/>
      <c r="P93" s="109"/>
      <c r="Q93" s="109"/>
    </row>
    <row r="94" spans="1:17" outlineLevel="1">
      <c r="A94" s="109"/>
      <c r="B94" s="1164"/>
      <c r="C94" s="1160"/>
      <c r="D94" s="1160"/>
      <c r="E94" s="374" t="s">
        <v>671</v>
      </c>
      <c r="F94" s="467"/>
      <c r="G94" s="371"/>
      <c r="H94" s="371" t="s">
        <v>364</v>
      </c>
      <c r="I94" s="372">
        <f>+VLOOKUP(E94,'Line items'!$B$3:$D$102,3,FALSE)</f>
        <v>127500</v>
      </c>
      <c r="J94" s="372">
        <f t="shared" si="6"/>
        <v>0</v>
      </c>
      <c r="K94" s="1192"/>
      <c r="L94" s="1149"/>
      <c r="M94" s="228"/>
      <c r="N94" s="109"/>
      <c r="O94" s="109"/>
      <c r="P94" s="109"/>
      <c r="Q94" s="109"/>
    </row>
    <row r="95" spans="1:17" ht="14" outlineLevel="1" thickBot="1">
      <c r="A95" s="109"/>
      <c r="B95" s="1165"/>
      <c r="C95" s="1166"/>
      <c r="D95" s="1166"/>
      <c r="E95" s="396" t="s">
        <v>672</v>
      </c>
      <c r="F95" s="468"/>
      <c r="G95" s="440"/>
      <c r="H95" s="440" t="s">
        <v>364</v>
      </c>
      <c r="I95" s="408">
        <f>+VLOOKUP(E95,'Line items'!$B$3:$D$102,3,FALSE)</f>
        <v>127500</v>
      </c>
      <c r="J95" s="408">
        <f t="shared" si="6"/>
        <v>0</v>
      </c>
      <c r="K95" s="1196"/>
      <c r="L95" s="1150"/>
      <c r="M95" s="228"/>
      <c r="N95" s="109"/>
      <c r="O95" s="109"/>
      <c r="P95" s="109"/>
      <c r="Q95" s="109"/>
    </row>
    <row r="96" spans="1:17" ht="14" thickBot="1">
      <c r="A96" s="109"/>
      <c r="B96" s="457">
        <v>1.8</v>
      </c>
      <c r="C96" s="1168" t="s">
        <v>22</v>
      </c>
      <c r="D96" s="1168"/>
      <c r="E96" s="1168"/>
      <c r="F96" s="703"/>
      <c r="G96" s="458"/>
      <c r="H96" s="458"/>
      <c r="I96" s="458"/>
      <c r="J96" s="458"/>
      <c r="K96" s="459"/>
      <c r="L96" s="581"/>
      <c r="M96" s="228"/>
      <c r="N96" s="109"/>
      <c r="O96" s="109"/>
      <c r="P96" s="109"/>
      <c r="Q96" s="109"/>
    </row>
    <row r="97" spans="1:17" outlineLevel="1">
      <c r="A97" s="109"/>
      <c r="B97" s="1162" t="s">
        <v>532</v>
      </c>
      <c r="C97" s="1163"/>
      <c r="D97" s="632" t="s">
        <v>420</v>
      </c>
      <c r="E97" s="392" t="s">
        <v>664</v>
      </c>
      <c r="F97" s="469" t="s">
        <v>500</v>
      </c>
      <c r="G97" s="402">
        <f>+G53</f>
        <v>6</v>
      </c>
      <c r="H97" s="402" t="s">
        <v>364</v>
      </c>
      <c r="I97" s="394">
        <f>+VLOOKUP(E97,'Line items'!$B$3:$D$102,3,FALSE)</f>
        <v>1000</v>
      </c>
      <c r="J97" s="403">
        <f>+I97*G97</f>
        <v>6000</v>
      </c>
      <c r="K97" s="557">
        <f>+J97</f>
        <v>6000</v>
      </c>
      <c r="L97" s="1151">
        <f>+SUM(K97:K99)</f>
        <v>6000</v>
      </c>
      <c r="M97" s="228"/>
      <c r="N97" s="109"/>
      <c r="O97" s="109"/>
      <c r="P97" s="109"/>
      <c r="Q97" s="109"/>
    </row>
    <row r="98" spans="1:17" outlineLevel="1">
      <c r="A98" s="109"/>
      <c r="B98" s="1164"/>
      <c r="C98" s="1160"/>
      <c r="D98" s="620" t="s">
        <v>421</v>
      </c>
      <c r="E98" s="374" t="s">
        <v>88</v>
      </c>
      <c r="F98" s="467"/>
      <c r="G98" s="375"/>
      <c r="H98" s="375"/>
      <c r="I98" s="376"/>
      <c r="J98" s="376"/>
      <c r="K98" s="534"/>
      <c r="L98" s="1149"/>
      <c r="M98" s="228"/>
      <c r="N98" s="109"/>
      <c r="O98" s="109"/>
      <c r="P98" s="109"/>
      <c r="Q98" s="109"/>
    </row>
    <row r="99" spans="1:17" ht="14" outlineLevel="1" thickBot="1">
      <c r="A99" s="109"/>
      <c r="B99" s="1165"/>
      <c r="C99" s="1166"/>
      <c r="D99" s="631" t="s">
        <v>422</v>
      </c>
      <c r="E99" s="396" t="s">
        <v>88</v>
      </c>
      <c r="F99" s="468"/>
      <c r="G99" s="397"/>
      <c r="H99" s="397"/>
      <c r="I99" s="398"/>
      <c r="J99" s="398"/>
      <c r="K99" s="551"/>
      <c r="L99" s="1150"/>
      <c r="M99" s="228"/>
      <c r="N99" s="109"/>
      <c r="O99" s="109"/>
      <c r="P99" s="109"/>
      <c r="Q99" s="109"/>
    </row>
    <row r="100" spans="1:17" outlineLevel="1">
      <c r="A100" s="109"/>
      <c r="B100" s="1170" t="s">
        <v>533</v>
      </c>
      <c r="C100" s="1171"/>
      <c r="D100" s="1171" t="s">
        <v>423</v>
      </c>
      <c r="E100" s="387" t="s">
        <v>315</v>
      </c>
      <c r="F100" s="705"/>
      <c r="G100" s="706">
        <v>1</v>
      </c>
      <c r="H100" s="706" t="s">
        <v>364</v>
      </c>
      <c r="I100" s="391">
        <f>+VLOOKUP(E100,'Line items'!$B$3:$D$102,3,FALSE)</f>
        <v>5000</v>
      </c>
      <c r="J100" s="707">
        <f t="shared" ref="J100:J101" si="7">+I100*G100</f>
        <v>5000</v>
      </c>
      <c r="K100" s="1190">
        <f>+SUM(J100:J101)</f>
        <v>65000</v>
      </c>
      <c r="L100" s="1148">
        <f>+SUM(K100:K103)</f>
        <v>65000</v>
      </c>
      <c r="M100" s="228"/>
      <c r="N100" s="109"/>
      <c r="O100" s="109"/>
      <c r="P100" s="109"/>
      <c r="Q100" s="109"/>
    </row>
    <row r="101" spans="1:17" outlineLevel="1">
      <c r="A101" s="109"/>
      <c r="B101" s="1164"/>
      <c r="C101" s="1160"/>
      <c r="D101" s="1160"/>
      <c r="E101" s="374" t="s">
        <v>700</v>
      </c>
      <c r="F101" s="467" t="s">
        <v>500</v>
      </c>
      <c r="G101" s="592">
        <v>300</v>
      </c>
      <c r="H101" s="592" t="s">
        <v>360</v>
      </c>
      <c r="I101" s="372">
        <f>+VLOOKUP(E101,'Line items'!$B$3:$D$102,3,FALSE)</f>
        <v>200</v>
      </c>
      <c r="J101" s="677">
        <f t="shared" si="7"/>
        <v>60000</v>
      </c>
      <c r="K101" s="1191"/>
      <c r="L101" s="1149"/>
      <c r="M101" s="228"/>
      <c r="N101" s="109"/>
      <c r="O101" s="109"/>
      <c r="P101" s="109"/>
      <c r="Q101" s="109"/>
    </row>
    <row r="102" spans="1:17" outlineLevel="1">
      <c r="A102" s="109"/>
      <c r="B102" s="1164"/>
      <c r="C102" s="1160"/>
      <c r="D102" s="620" t="s">
        <v>424</v>
      </c>
      <c r="E102" s="374" t="s">
        <v>88</v>
      </c>
      <c r="F102" s="675"/>
      <c r="G102" s="592"/>
      <c r="H102" s="592"/>
      <c r="I102" s="677"/>
      <c r="J102" s="677"/>
      <c r="K102" s="704"/>
      <c r="L102" s="1149"/>
      <c r="M102" s="228"/>
      <c r="N102" s="109"/>
      <c r="O102" s="109"/>
      <c r="P102" s="109"/>
      <c r="Q102" s="109"/>
    </row>
    <row r="103" spans="1:17" ht="14" outlineLevel="1" thickBot="1">
      <c r="A103" s="109"/>
      <c r="B103" s="1172"/>
      <c r="C103" s="1161"/>
      <c r="D103" s="622" t="s">
        <v>425</v>
      </c>
      <c r="E103" s="382" t="s">
        <v>88</v>
      </c>
      <c r="F103" s="470"/>
      <c r="G103" s="428"/>
      <c r="H103" s="428"/>
      <c r="I103" s="426"/>
      <c r="J103" s="426"/>
      <c r="K103" s="625"/>
      <c r="L103" s="1154"/>
      <c r="M103" s="228"/>
      <c r="N103" s="109"/>
      <c r="O103" s="109"/>
      <c r="P103" s="109"/>
      <c r="Q103" s="109"/>
    </row>
    <row r="104" spans="1:17" ht="16" thickBot="1">
      <c r="A104" s="109"/>
      <c r="B104" s="664">
        <v>2</v>
      </c>
      <c r="C104" s="708" t="s">
        <v>316</v>
      </c>
      <c r="D104" s="709"/>
      <c r="E104" s="708"/>
      <c r="F104" s="666"/>
      <c r="G104" s="669"/>
      <c r="H104" s="669"/>
      <c r="I104" s="671"/>
      <c r="J104" s="671"/>
      <c r="K104" s="710"/>
      <c r="L104" s="711"/>
      <c r="M104" s="228"/>
      <c r="N104" s="109"/>
      <c r="O104" s="109"/>
      <c r="P104" s="109"/>
      <c r="Q104" s="109"/>
    </row>
    <row r="105" spans="1:17" ht="14" thickBot="1">
      <c r="A105" s="109"/>
      <c r="B105" s="506">
        <v>2.1</v>
      </c>
      <c r="C105" s="1169" t="s">
        <v>34</v>
      </c>
      <c r="D105" s="1169"/>
      <c r="E105" s="1169"/>
      <c r="F105" s="507"/>
      <c r="G105" s="508"/>
      <c r="H105" s="508"/>
      <c r="I105" s="509"/>
      <c r="J105" s="712"/>
      <c r="K105" s="712"/>
      <c r="L105" s="713"/>
      <c r="M105" s="228"/>
      <c r="N105" s="109"/>
      <c r="O105" s="109"/>
      <c r="P105" s="109"/>
      <c r="Q105" s="109"/>
    </row>
    <row r="106" spans="1:17" outlineLevel="1">
      <c r="A106" s="109"/>
      <c r="B106" s="1162" t="s">
        <v>534</v>
      </c>
      <c r="C106" s="1163"/>
      <c r="D106" s="1163" t="s">
        <v>427</v>
      </c>
      <c r="E106" s="401" t="s">
        <v>317</v>
      </c>
      <c r="F106" s="469"/>
      <c r="G106" s="402"/>
      <c r="H106" s="402"/>
      <c r="I106" s="403"/>
      <c r="J106" s="403"/>
      <c r="K106" s="1186">
        <f>+SUM(J106:J108)</f>
        <v>9550</v>
      </c>
      <c r="L106" s="1151">
        <f>+SUM(K106:K110)</f>
        <v>10550</v>
      </c>
      <c r="M106" s="228"/>
      <c r="N106" s="109"/>
      <c r="O106" s="109"/>
      <c r="P106" s="109"/>
      <c r="Q106" s="109"/>
    </row>
    <row r="107" spans="1:17" outlineLevel="1">
      <c r="A107" s="109"/>
      <c r="B107" s="1164"/>
      <c r="C107" s="1160"/>
      <c r="D107" s="1160"/>
      <c r="E107" s="370" t="s">
        <v>701</v>
      </c>
      <c r="F107" s="467"/>
      <c r="G107" s="375">
        <v>1</v>
      </c>
      <c r="H107" s="375" t="s">
        <v>364</v>
      </c>
      <c r="I107" s="372">
        <f>+VLOOKUP(E107,'Line items'!$B$3:$D$102,3,FALSE)</f>
        <v>2550</v>
      </c>
      <c r="J107" s="376">
        <f t="shared" ref="J107:J135" si="8">+I107*G107</f>
        <v>2550</v>
      </c>
      <c r="K107" s="1180"/>
      <c r="L107" s="1149"/>
      <c r="M107" s="228"/>
      <c r="N107" s="109"/>
      <c r="O107" s="109"/>
      <c r="P107" s="109"/>
      <c r="Q107" s="109"/>
    </row>
    <row r="108" spans="1:17" outlineLevel="1">
      <c r="A108" s="109"/>
      <c r="B108" s="1164"/>
      <c r="C108" s="1160"/>
      <c r="D108" s="1160"/>
      <c r="E108" s="370" t="s">
        <v>702</v>
      </c>
      <c r="F108" s="467"/>
      <c r="G108" s="375">
        <v>1</v>
      </c>
      <c r="H108" s="375" t="s">
        <v>364</v>
      </c>
      <c r="I108" s="372">
        <f>+VLOOKUP(E108,'Line items'!$B$3:$D$102,3,FALSE)</f>
        <v>7000</v>
      </c>
      <c r="J108" s="376">
        <f t="shared" si="8"/>
        <v>7000</v>
      </c>
      <c r="K108" s="1180"/>
      <c r="L108" s="1149"/>
      <c r="M108" s="228"/>
      <c r="N108" s="109"/>
      <c r="O108" s="109"/>
      <c r="P108" s="109"/>
      <c r="Q108" s="109"/>
    </row>
    <row r="109" spans="1:17" outlineLevel="1">
      <c r="A109" s="109"/>
      <c r="B109" s="1164"/>
      <c r="C109" s="1160"/>
      <c r="D109" s="620" t="s">
        <v>428</v>
      </c>
      <c r="E109" s="374" t="s">
        <v>88</v>
      </c>
      <c r="F109" s="467"/>
      <c r="G109" s="375"/>
      <c r="H109" s="375"/>
      <c r="I109" s="376"/>
      <c r="J109" s="376"/>
      <c r="K109" s="534"/>
      <c r="L109" s="1149"/>
      <c r="M109" s="228"/>
      <c r="N109" s="109"/>
      <c r="O109" s="109"/>
      <c r="P109" s="109"/>
      <c r="Q109" s="109"/>
    </row>
    <row r="110" spans="1:17" ht="14" outlineLevel="1" thickBot="1">
      <c r="A110" s="109"/>
      <c r="B110" s="1165"/>
      <c r="C110" s="1166"/>
      <c r="D110" s="631" t="s">
        <v>429</v>
      </c>
      <c r="E110" s="396" t="s">
        <v>191</v>
      </c>
      <c r="F110" s="468"/>
      <c r="G110" s="397">
        <v>100</v>
      </c>
      <c r="H110" s="397" t="s">
        <v>360</v>
      </c>
      <c r="I110" s="408">
        <f>+VLOOKUP(E110,'Line items'!$B$3:$D$102,3,FALSE)</f>
        <v>10</v>
      </c>
      <c r="J110" s="398">
        <f t="shared" si="8"/>
        <v>1000</v>
      </c>
      <c r="K110" s="551">
        <f>+J110</f>
        <v>1000</v>
      </c>
      <c r="L110" s="1150"/>
      <c r="M110" s="228"/>
      <c r="N110" s="109"/>
      <c r="O110" s="109"/>
      <c r="P110" s="109"/>
      <c r="Q110" s="109"/>
    </row>
    <row r="111" spans="1:17" outlineLevel="1">
      <c r="A111" s="109"/>
      <c r="B111" s="1162" t="s">
        <v>535</v>
      </c>
      <c r="C111" s="1163"/>
      <c r="D111" s="1163" t="s">
        <v>430</v>
      </c>
      <c r="E111" s="401" t="s">
        <v>503</v>
      </c>
      <c r="F111" s="469" t="s">
        <v>318</v>
      </c>
      <c r="G111" s="402">
        <v>100</v>
      </c>
      <c r="H111" s="402" t="s">
        <v>360</v>
      </c>
      <c r="I111" s="394">
        <f>+VLOOKUP(E111,'Line items'!$B$3:$D$102,3,FALSE)</f>
        <v>160</v>
      </c>
      <c r="J111" s="403">
        <f t="shared" si="8"/>
        <v>16000</v>
      </c>
      <c r="K111" s="1186">
        <f>+SUM(J111:J113)</f>
        <v>23700</v>
      </c>
      <c r="L111" s="1151">
        <f>+SUM(K111:K115)</f>
        <v>24700</v>
      </c>
      <c r="M111" s="228"/>
      <c r="N111" s="109"/>
      <c r="O111" s="109"/>
      <c r="P111" s="109"/>
      <c r="Q111" s="109"/>
    </row>
    <row r="112" spans="1:17" outlineLevel="1">
      <c r="A112" s="109"/>
      <c r="B112" s="1164"/>
      <c r="C112" s="1160"/>
      <c r="D112" s="1160"/>
      <c r="E112" s="370" t="s">
        <v>702</v>
      </c>
      <c r="F112" s="467"/>
      <c r="G112" s="375">
        <v>1</v>
      </c>
      <c r="H112" s="375" t="s">
        <v>364</v>
      </c>
      <c r="I112" s="372">
        <f>+VLOOKUP(E112,'Line items'!$B$3:$D$102,3,FALSE)</f>
        <v>7000</v>
      </c>
      <c r="J112" s="376">
        <f t="shared" si="8"/>
        <v>7000</v>
      </c>
      <c r="K112" s="1180"/>
      <c r="L112" s="1149"/>
      <c r="M112" s="228"/>
      <c r="N112" s="109"/>
      <c r="O112" s="109"/>
      <c r="P112" s="109"/>
      <c r="Q112" s="109"/>
    </row>
    <row r="113" spans="1:17" outlineLevel="1">
      <c r="A113" s="109"/>
      <c r="B113" s="1164"/>
      <c r="C113" s="1160"/>
      <c r="D113" s="1160"/>
      <c r="E113" s="374" t="s">
        <v>705</v>
      </c>
      <c r="F113" s="467"/>
      <c r="G113" s="375">
        <v>1</v>
      </c>
      <c r="H113" s="375" t="s">
        <v>364</v>
      </c>
      <c r="I113" s="372">
        <f>+VLOOKUP(E113,'Line items'!$B$3:$D$102,3,FALSE)</f>
        <v>700</v>
      </c>
      <c r="J113" s="376">
        <f t="shared" si="8"/>
        <v>700</v>
      </c>
      <c r="K113" s="1180"/>
      <c r="L113" s="1149"/>
      <c r="M113" s="228"/>
      <c r="N113" s="109"/>
      <c r="O113" s="109"/>
      <c r="P113" s="109"/>
      <c r="Q113" s="109"/>
    </row>
    <row r="114" spans="1:17" outlineLevel="1">
      <c r="A114" s="109"/>
      <c r="B114" s="1164"/>
      <c r="C114" s="1160"/>
      <c r="D114" s="620" t="s">
        <v>431</v>
      </c>
      <c r="E114" s="374" t="s">
        <v>88</v>
      </c>
      <c r="F114" s="467"/>
      <c r="G114" s="375"/>
      <c r="H114" s="375"/>
      <c r="I114" s="376"/>
      <c r="J114" s="376"/>
      <c r="K114" s="534"/>
      <c r="L114" s="1149"/>
      <c r="M114" s="228"/>
      <c r="N114" s="109"/>
      <c r="O114" s="109"/>
      <c r="P114" s="109"/>
      <c r="Q114" s="109"/>
    </row>
    <row r="115" spans="1:17" ht="14" outlineLevel="1" thickBot="1">
      <c r="A115" s="109"/>
      <c r="B115" s="1165"/>
      <c r="C115" s="1166"/>
      <c r="D115" s="631" t="s">
        <v>432</v>
      </c>
      <c r="E115" s="505" t="s">
        <v>191</v>
      </c>
      <c r="F115" s="717"/>
      <c r="G115" s="397">
        <v>100</v>
      </c>
      <c r="H115" s="397" t="s">
        <v>360</v>
      </c>
      <c r="I115" s="398">
        <f>+VLOOKUP(E115,'Line items'!$B$3:$D$102,3,FALSE)</f>
        <v>10</v>
      </c>
      <c r="J115" s="408">
        <f t="shared" si="8"/>
        <v>1000</v>
      </c>
      <c r="K115" s="637">
        <f>+J115</f>
        <v>1000</v>
      </c>
      <c r="L115" s="1150"/>
      <c r="M115" s="228"/>
      <c r="N115" s="109"/>
      <c r="O115" s="109"/>
      <c r="P115" s="109"/>
      <c r="Q115" s="109"/>
    </row>
    <row r="116" spans="1:17" ht="14" thickBot="1">
      <c r="A116" s="109"/>
      <c r="B116" s="714">
        <v>2.2000000000000002</v>
      </c>
      <c r="C116" s="1201" t="s">
        <v>37</v>
      </c>
      <c r="D116" s="1201"/>
      <c r="E116" s="1201"/>
      <c r="F116" s="484"/>
      <c r="G116" s="485"/>
      <c r="H116" s="485"/>
      <c r="I116" s="486"/>
      <c r="J116" s="486"/>
      <c r="K116" s="559"/>
      <c r="L116" s="715"/>
      <c r="M116" s="228"/>
      <c r="N116" s="109"/>
      <c r="O116" s="109"/>
      <c r="P116" s="109"/>
      <c r="Q116" s="109"/>
    </row>
    <row r="117" spans="1:17" outlineLevel="1">
      <c r="A117" s="109"/>
      <c r="B117" s="1162" t="s">
        <v>536</v>
      </c>
      <c r="C117" s="1163"/>
      <c r="D117" s="632" t="s">
        <v>433</v>
      </c>
      <c r="E117" s="401" t="s">
        <v>88</v>
      </c>
      <c r="F117" s="469"/>
      <c r="G117" s="402"/>
      <c r="H117" s="402"/>
      <c r="I117" s="403"/>
      <c r="J117" s="403"/>
      <c r="K117" s="557"/>
      <c r="L117" s="1145">
        <f>+SUM(K117:K119)</f>
        <v>1200</v>
      </c>
      <c r="M117" s="228"/>
      <c r="N117" s="109"/>
      <c r="O117" s="109"/>
      <c r="P117" s="109"/>
      <c r="Q117" s="109"/>
    </row>
    <row r="118" spans="1:17" outlineLevel="1">
      <c r="A118" s="109"/>
      <c r="B118" s="1164"/>
      <c r="C118" s="1160"/>
      <c r="D118" s="620" t="s">
        <v>434</v>
      </c>
      <c r="E118" s="374" t="s">
        <v>88</v>
      </c>
      <c r="F118" s="467"/>
      <c r="G118" s="375"/>
      <c r="H118" s="375"/>
      <c r="I118" s="376"/>
      <c r="J118" s="376"/>
      <c r="K118" s="534"/>
      <c r="L118" s="1146"/>
      <c r="M118" s="228"/>
      <c r="N118" s="109"/>
      <c r="O118" s="109"/>
      <c r="P118" s="109"/>
      <c r="Q118" s="109"/>
    </row>
    <row r="119" spans="1:17" ht="14" outlineLevel="1" thickBot="1">
      <c r="A119" s="109"/>
      <c r="B119" s="1165"/>
      <c r="C119" s="1166"/>
      <c r="D119" s="631" t="s">
        <v>435</v>
      </c>
      <c r="E119" s="439" t="s">
        <v>707</v>
      </c>
      <c r="F119" s="468" t="s">
        <v>500</v>
      </c>
      <c r="G119" s="397">
        <v>8</v>
      </c>
      <c r="H119" s="397" t="s">
        <v>364</v>
      </c>
      <c r="I119" s="408">
        <f>+VLOOKUP(E119,'Line items'!$B$3:$D$102,3,FALSE)</f>
        <v>150</v>
      </c>
      <c r="J119" s="398">
        <f t="shared" si="8"/>
        <v>1200</v>
      </c>
      <c r="K119" s="424">
        <f>+SUM(J119:J119)</f>
        <v>1200</v>
      </c>
      <c r="L119" s="1152"/>
      <c r="M119" s="228"/>
      <c r="N119" s="109"/>
      <c r="O119" s="109"/>
      <c r="P119" s="109"/>
      <c r="Q119" s="109"/>
    </row>
    <row r="120" spans="1:17" outlineLevel="1">
      <c r="A120" s="109"/>
      <c r="B120" s="1162" t="s">
        <v>537</v>
      </c>
      <c r="C120" s="1163"/>
      <c r="D120" s="632" t="s">
        <v>436</v>
      </c>
      <c r="E120" s="401" t="s">
        <v>88</v>
      </c>
      <c r="F120" s="469"/>
      <c r="G120" s="402"/>
      <c r="H120" s="402"/>
      <c r="I120" s="403"/>
      <c r="J120" s="403"/>
      <c r="K120" s="557"/>
      <c r="L120" s="1145">
        <f>+SUM(K120:K123)</f>
        <v>26000</v>
      </c>
      <c r="M120" s="228"/>
      <c r="N120" s="109"/>
      <c r="O120" s="109"/>
      <c r="P120" s="109"/>
      <c r="Q120" s="109"/>
    </row>
    <row r="121" spans="1:17" outlineLevel="1">
      <c r="A121" s="109"/>
      <c r="B121" s="1164"/>
      <c r="C121" s="1160"/>
      <c r="D121" s="620" t="s">
        <v>437</v>
      </c>
      <c r="E121" s="374" t="s">
        <v>88</v>
      </c>
      <c r="F121" s="467"/>
      <c r="G121" s="375"/>
      <c r="H121" s="375"/>
      <c r="I121" s="376"/>
      <c r="J121" s="376"/>
      <c r="K121" s="534"/>
      <c r="L121" s="1146"/>
      <c r="M121" s="228"/>
      <c r="N121" s="109"/>
      <c r="O121" s="109"/>
      <c r="P121" s="109"/>
      <c r="Q121" s="109"/>
    </row>
    <row r="122" spans="1:17" outlineLevel="1">
      <c r="A122" s="109"/>
      <c r="B122" s="1164"/>
      <c r="C122" s="1160"/>
      <c r="D122" s="1160" t="s">
        <v>447</v>
      </c>
      <c r="E122" s="374"/>
      <c r="F122" s="467"/>
      <c r="G122" s="375"/>
      <c r="H122" s="375"/>
      <c r="I122" s="376"/>
      <c r="J122" s="376"/>
      <c r="K122" s="1192">
        <f>+SUM(J122:J123)</f>
        <v>26000</v>
      </c>
      <c r="L122" s="1146"/>
      <c r="M122" s="228"/>
      <c r="N122" s="109"/>
      <c r="O122" s="109"/>
      <c r="P122" s="109"/>
      <c r="Q122" s="109"/>
    </row>
    <row r="123" spans="1:17" ht="14" outlineLevel="1" thickBot="1">
      <c r="A123" s="109"/>
      <c r="B123" s="1165"/>
      <c r="C123" s="1166"/>
      <c r="D123" s="1166"/>
      <c r="E123" s="439" t="s">
        <v>714</v>
      </c>
      <c r="F123" s="468"/>
      <c r="G123" s="397">
        <v>1</v>
      </c>
      <c r="H123" s="397" t="s">
        <v>364</v>
      </c>
      <c r="I123" s="408">
        <f>+VLOOKUP(E123,'Line items'!$B$3:$D$102,3,FALSE)</f>
        <v>26000</v>
      </c>
      <c r="J123" s="398">
        <f t="shared" si="8"/>
        <v>26000</v>
      </c>
      <c r="K123" s="1182"/>
      <c r="L123" s="1152"/>
      <c r="M123" s="228"/>
      <c r="N123" s="109"/>
      <c r="O123" s="109"/>
      <c r="P123" s="109"/>
      <c r="Q123" s="109"/>
    </row>
    <row r="124" spans="1:17" outlineLevel="1">
      <c r="A124" s="109"/>
      <c r="B124" s="1162" t="s">
        <v>538</v>
      </c>
      <c r="C124" s="1163"/>
      <c r="D124" s="1163" t="s">
        <v>438</v>
      </c>
      <c r="E124" s="392"/>
      <c r="F124" s="469"/>
      <c r="G124" s="402"/>
      <c r="H124" s="402"/>
      <c r="I124" s="403"/>
      <c r="J124" s="403"/>
      <c r="K124" s="1186">
        <f>+SUM(J124:J126)</f>
        <v>28000</v>
      </c>
      <c r="L124" s="1145">
        <f>+SUM(K124:K128)</f>
        <v>29000</v>
      </c>
      <c r="M124" s="228"/>
      <c r="N124" s="109"/>
      <c r="O124" s="109"/>
      <c r="P124" s="109"/>
      <c r="Q124" s="109"/>
    </row>
    <row r="125" spans="1:17" outlineLevel="1">
      <c r="A125" s="109"/>
      <c r="B125" s="1164"/>
      <c r="C125" s="1160"/>
      <c r="D125" s="1160"/>
      <c r="E125" s="374" t="s">
        <v>320</v>
      </c>
      <c r="F125" s="467"/>
      <c r="G125" s="375">
        <v>100</v>
      </c>
      <c r="H125" s="375" t="s">
        <v>360</v>
      </c>
      <c r="I125" s="372">
        <f>+VLOOKUP(E125,'Line items'!$B$3:$D$102,3,FALSE)</f>
        <v>20</v>
      </c>
      <c r="J125" s="376">
        <f t="shared" si="8"/>
        <v>2000</v>
      </c>
      <c r="K125" s="1180"/>
      <c r="L125" s="1146"/>
      <c r="M125" s="228"/>
      <c r="N125" s="109"/>
      <c r="O125" s="109"/>
      <c r="P125" s="109"/>
      <c r="Q125" s="109"/>
    </row>
    <row r="126" spans="1:17" outlineLevel="1">
      <c r="A126" s="109"/>
      <c r="B126" s="1164"/>
      <c r="C126" s="1160"/>
      <c r="D126" s="1160"/>
      <c r="E126" s="370" t="s">
        <v>714</v>
      </c>
      <c r="F126" s="467"/>
      <c r="G126" s="375">
        <v>1</v>
      </c>
      <c r="H126" s="375" t="s">
        <v>364</v>
      </c>
      <c r="I126" s="372">
        <f>+VLOOKUP(E126,'Line items'!$B$3:$D$102,3,FALSE)</f>
        <v>26000</v>
      </c>
      <c r="J126" s="376">
        <f t="shared" si="8"/>
        <v>26000</v>
      </c>
      <c r="K126" s="1180"/>
      <c r="L126" s="1146"/>
      <c r="M126" s="228"/>
      <c r="N126" s="109"/>
      <c r="O126" s="109"/>
      <c r="P126" s="109"/>
      <c r="Q126" s="109"/>
    </row>
    <row r="127" spans="1:17" outlineLevel="1">
      <c r="A127" s="109"/>
      <c r="B127" s="1164"/>
      <c r="C127" s="1160"/>
      <c r="D127" s="620" t="s">
        <v>439</v>
      </c>
      <c r="E127" s="374" t="s">
        <v>88</v>
      </c>
      <c r="F127" s="467"/>
      <c r="G127" s="375"/>
      <c r="H127" s="375"/>
      <c r="I127" s="376"/>
      <c r="J127" s="376"/>
      <c r="K127" s="534"/>
      <c r="L127" s="1146"/>
      <c r="M127" s="228"/>
      <c r="N127" s="109"/>
      <c r="O127" s="109"/>
      <c r="P127" s="109"/>
      <c r="Q127" s="109"/>
    </row>
    <row r="128" spans="1:17" ht="14" outlineLevel="1" thickBot="1">
      <c r="A128" s="109"/>
      <c r="B128" s="1165"/>
      <c r="C128" s="1166"/>
      <c r="D128" s="631" t="s">
        <v>440</v>
      </c>
      <c r="E128" s="396" t="s">
        <v>191</v>
      </c>
      <c r="F128" s="468"/>
      <c r="G128" s="397">
        <v>100</v>
      </c>
      <c r="H128" s="397" t="s">
        <v>360</v>
      </c>
      <c r="I128" s="398">
        <f>+VLOOKUP(E128,'Line items'!$B$3:$D$102,3,FALSE)</f>
        <v>10</v>
      </c>
      <c r="J128" s="398">
        <f t="shared" si="8"/>
        <v>1000</v>
      </c>
      <c r="K128" s="551">
        <f t="shared" ref="K128:K130" si="9">+J128</f>
        <v>1000</v>
      </c>
      <c r="L128" s="1152"/>
      <c r="M128" s="228"/>
      <c r="N128" s="109"/>
      <c r="O128" s="109"/>
      <c r="P128" s="109"/>
      <c r="Q128" s="109"/>
    </row>
    <row r="129" spans="1:17" ht="14" thickBot="1">
      <c r="A129" s="109"/>
      <c r="B129" s="714">
        <v>2.2999999999999998</v>
      </c>
      <c r="C129" s="1201" t="s">
        <v>38</v>
      </c>
      <c r="D129" s="1201"/>
      <c r="E129" s="1201"/>
      <c r="F129" s="484"/>
      <c r="G129" s="485"/>
      <c r="H129" s="485"/>
      <c r="I129" s="486"/>
      <c r="J129" s="486"/>
      <c r="K129" s="559"/>
      <c r="L129" s="715"/>
      <c r="M129" s="228"/>
      <c r="N129" s="109"/>
      <c r="O129" s="109"/>
      <c r="P129" s="109"/>
      <c r="Q129" s="109"/>
    </row>
    <row r="130" spans="1:17" outlineLevel="1">
      <c r="A130" s="109"/>
      <c r="B130" s="1162" t="s">
        <v>539</v>
      </c>
      <c r="C130" s="1163"/>
      <c r="D130" s="632" t="s">
        <v>441</v>
      </c>
      <c r="E130" s="392" t="s">
        <v>321</v>
      </c>
      <c r="F130" s="469"/>
      <c r="G130" s="393">
        <v>100</v>
      </c>
      <c r="H130" s="393" t="s">
        <v>360</v>
      </c>
      <c r="I130" s="394">
        <f>+VLOOKUP(E130,'Line items'!$B$3:$D$102,3,FALSE)</f>
        <v>10</v>
      </c>
      <c r="J130" s="394">
        <f t="shared" si="8"/>
        <v>1000</v>
      </c>
      <c r="K130" s="635">
        <f t="shared" si="9"/>
        <v>1000</v>
      </c>
      <c r="L130" s="1151">
        <f>+SUM(K130:K134)</f>
        <v>121000</v>
      </c>
      <c r="M130" s="228"/>
      <c r="N130" s="109"/>
      <c r="O130" s="109"/>
      <c r="P130" s="109"/>
      <c r="Q130" s="109"/>
    </row>
    <row r="131" spans="1:17" outlineLevel="1">
      <c r="A131" s="109"/>
      <c r="B131" s="1164"/>
      <c r="C131" s="1160"/>
      <c r="D131" s="620" t="s">
        <v>442</v>
      </c>
      <c r="E131" s="374" t="s">
        <v>88</v>
      </c>
      <c r="F131" s="467"/>
      <c r="G131" s="375"/>
      <c r="H131" s="375"/>
      <c r="I131" s="376"/>
      <c r="J131" s="376"/>
      <c r="K131" s="534"/>
      <c r="L131" s="1149"/>
      <c r="M131" s="228"/>
      <c r="N131" s="109"/>
      <c r="O131" s="109"/>
      <c r="P131" s="109"/>
      <c r="Q131" s="109"/>
    </row>
    <row r="132" spans="1:17" outlineLevel="1">
      <c r="A132" s="109"/>
      <c r="B132" s="1164"/>
      <c r="C132" s="1160"/>
      <c r="D132" s="1160" t="s">
        <v>443</v>
      </c>
      <c r="E132" s="374" t="s">
        <v>647</v>
      </c>
      <c r="F132" s="467"/>
      <c r="G132" s="375">
        <v>12000</v>
      </c>
      <c r="H132" s="375" t="s">
        <v>95</v>
      </c>
      <c r="I132" s="372">
        <f>+VLOOKUP(E132,'Line items'!$B$3:$D$102,3,FALSE)</f>
        <v>10</v>
      </c>
      <c r="J132" s="376">
        <f>+I132*G132</f>
        <v>120000</v>
      </c>
      <c r="K132" s="1192">
        <f>+SUM(J132:J134)</f>
        <v>120000</v>
      </c>
      <c r="L132" s="1149"/>
      <c r="M132" s="228"/>
      <c r="N132" s="109"/>
      <c r="O132" s="109"/>
      <c r="P132" s="109"/>
      <c r="Q132" s="109"/>
    </row>
    <row r="133" spans="1:17" outlineLevel="1">
      <c r="A133" s="109"/>
      <c r="B133" s="1164"/>
      <c r="C133" s="1160"/>
      <c r="D133" s="1160"/>
      <c r="E133" s="374"/>
      <c r="F133" s="467"/>
      <c r="G133" s="375"/>
      <c r="H133" s="375"/>
      <c r="I133" s="376"/>
      <c r="J133" s="376"/>
      <c r="K133" s="1180"/>
      <c r="L133" s="1149"/>
      <c r="M133" s="228"/>
      <c r="N133" s="109"/>
      <c r="O133" s="109"/>
      <c r="P133" s="109"/>
      <c r="Q133" s="109"/>
    </row>
    <row r="134" spans="1:17" ht="14" outlineLevel="1" thickBot="1">
      <c r="A134" s="109"/>
      <c r="B134" s="1165"/>
      <c r="C134" s="1166"/>
      <c r="D134" s="1166"/>
      <c r="E134" s="505"/>
      <c r="F134" s="717"/>
      <c r="G134" s="397"/>
      <c r="H134" s="397"/>
      <c r="I134" s="398"/>
      <c r="J134" s="398"/>
      <c r="K134" s="1182"/>
      <c r="L134" s="1150"/>
      <c r="M134" s="228"/>
      <c r="N134" s="109"/>
      <c r="O134" s="109"/>
      <c r="P134" s="109"/>
      <c r="Q134" s="109"/>
    </row>
    <row r="135" spans="1:17" outlineLevel="1">
      <c r="A135" s="109"/>
      <c r="B135" s="1162" t="s">
        <v>540</v>
      </c>
      <c r="C135" s="1163"/>
      <c r="D135" s="632" t="s">
        <v>444</v>
      </c>
      <c r="E135" s="401" t="s">
        <v>321</v>
      </c>
      <c r="F135" s="469"/>
      <c r="G135" s="402">
        <v>100</v>
      </c>
      <c r="H135" s="402" t="s">
        <v>360</v>
      </c>
      <c r="I135" s="394">
        <f>+VLOOKUP(E135,'Line items'!$B$3:$D$102,3,FALSE)</f>
        <v>10</v>
      </c>
      <c r="J135" s="403">
        <f t="shared" si="8"/>
        <v>1000</v>
      </c>
      <c r="K135" s="557">
        <f>+J135</f>
        <v>1000</v>
      </c>
      <c r="L135" s="1151">
        <f>+SUM(K135:K139)</f>
        <v>121000</v>
      </c>
      <c r="M135" s="228"/>
      <c r="N135" s="109"/>
      <c r="O135" s="109"/>
      <c r="P135" s="109"/>
      <c r="Q135" s="109"/>
    </row>
    <row r="136" spans="1:17" outlineLevel="1">
      <c r="A136" s="109"/>
      <c r="B136" s="1164"/>
      <c r="C136" s="1160"/>
      <c r="D136" s="620" t="s">
        <v>445</v>
      </c>
      <c r="E136" s="374" t="s">
        <v>88</v>
      </c>
      <c r="F136" s="467"/>
      <c r="G136" s="375"/>
      <c r="H136" s="375"/>
      <c r="I136" s="376"/>
      <c r="J136" s="376"/>
      <c r="K136" s="534"/>
      <c r="L136" s="1149"/>
      <c r="M136" s="228"/>
      <c r="N136" s="109"/>
      <c r="O136" s="109"/>
      <c r="P136" s="109"/>
      <c r="Q136" s="109"/>
    </row>
    <row r="137" spans="1:17" outlineLevel="1">
      <c r="A137" s="109"/>
      <c r="B137" s="1164"/>
      <c r="C137" s="1160"/>
      <c r="D137" s="1160" t="s">
        <v>446</v>
      </c>
      <c r="E137" s="374" t="s">
        <v>647</v>
      </c>
      <c r="F137" s="467"/>
      <c r="G137" s="375">
        <v>12000</v>
      </c>
      <c r="H137" s="375" t="s">
        <v>95</v>
      </c>
      <c r="I137" s="372">
        <f>+VLOOKUP(E137,'Line items'!$B$3:$D$102,3,FALSE)</f>
        <v>10</v>
      </c>
      <c r="J137" s="376">
        <f>+I137*G137</f>
        <v>120000</v>
      </c>
      <c r="K137" s="1192">
        <f>+SUM(J137:J139)</f>
        <v>120000</v>
      </c>
      <c r="L137" s="1149"/>
      <c r="M137" s="228"/>
      <c r="N137" s="109"/>
      <c r="O137" s="109"/>
      <c r="P137" s="109"/>
      <c r="Q137" s="109"/>
    </row>
    <row r="138" spans="1:17" outlineLevel="1">
      <c r="A138" s="109"/>
      <c r="B138" s="1164"/>
      <c r="C138" s="1160"/>
      <c r="D138" s="1160"/>
      <c r="E138" s="374"/>
      <c r="F138" s="467"/>
      <c r="G138" s="375"/>
      <c r="H138" s="375"/>
      <c r="I138" s="376"/>
      <c r="J138" s="376"/>
      <c r="K138" s="1180"/>
      <c r="L138" s="1149"/>
      <c r="M138" s="228"/>
      <c r="N138" s="109"/>
      <c r="O138" s="109"/>
      <c r="P138" s="109"/>
      <c r="Q138" s="109"/>
    </row>
    <row r="139" spans="1:17" ht="14" outlineLevel="1" thickBot="1">
      <c r="A139" s="109"/>
      <c r="B139" s="1172"/>
      <c r="C139" s="1161"/>
      <c r="D139" s="1161"/>
      <c r="E139" s="487"/>
      <c r="F139" s="716"/>
      <c r="G139" s="383"/>
      <c r="H139" s="383"/>
      <c r="I139" s="384"/>
      <c r="J139" s="384"/>
      <c r="K139" s="1184"/>
      <c r="L139" s="1154"/>
      <c r="M139" s="228"/>
      <c r="N139" s="109"/>
      <c r="O139" s="109"/>
      <c r="P139" s="109"/>
      <c r="Q139" s="109"/>
    </row>
    <row r="140" spans="1:17" ht="16" thickBot="1">
      <c r="A140" s="109"/>
      <c r="B140" s="510">
        <v>3</v>
      </c>
      <c r="C140" s="718" t="s">
        <v>53</v>
      </c>
      <c r="D140" s="719"/>
      <c r="E140" s="718"/>
      <c r="F140" s="644"/>
      <c r="G140" s="515"/>
      <c r="H140" s="515"/>
      <c r="I140" s="516"/>
      <c r="J140" s="516"/>
      <c r="K140" s="564"/>
      <c r="L140" s="565"/>
      <c r="M140" s="228"/>
      <c r="N140" s="109"/>
      <c r="O140" s="109"/>
      <c r="P140" s="109"/>
      <c r="Q140" s="109"/>
    </row>
    <row r="141" spans="1:17" ht="14" thickBot="1">
      <c r="A141" s="109"/>
      <c r="B141" s="519">
        <v>3.1</v>
      </c>
      <c r="C141" s="1173" t="s">
        <v>42</v>
      </c>
      <c r="D141" s="1173"/>
      <c r="E141" s="1173"/>
      <c r="F141" s="720"/>
      <c r="G141" s="521"/>
      <c r="H141" s="521"/>
      <c r="I141" s="522"/>
      <c r="J141" s="522"/>
      <c r="K141" s="566"/>
      <c r="L141" s="567"/>
      <c r="M141" s="228"/>
      <c r="N141" s="109"/>
      <c r="O141" s="109"/>
      <c r="P141" s="109"/>
      <c r="Q141" s="109"/>
    </row>
    <row r="142" spans="1:17" outlineLevel="1">
      <c r="A142" s="109"/>
      <c r="B142" s="1162" t="s">
        <v>541</v>
      </c>
      <c r="C142" s="1163"/>
      <c r="D142" s="1163" t="s">
        <v>448</v>
      </c>
      <c r="E142" s="392" t="s">
        <v>324</v>
      </c>
      <c r="F142" s="469"/>
      <c r="G142" s="393">
        <v>1</v>
      </c>
      <c r="H142" s="393" t="s">
        <v>364</v>
      </c>
      <c r="I142" s="394">
        <f>+VLOOKUP(E142,'Line items'!$B$3:$D$102,3,FALSE)</f>
        <v>2500</v>
      </c>
      <c r="J142" s="394">
        <f t="shared" ref="J142:J185" si="10">+I142*G142</f>
        <v>2500</v>
      </c>
      <c r="K142" s="1194">
        <f>+SUM(J142:J143)</f>
        <v>23500</v>
      </c>
      <c r="L142" s="1151">
        <f>+SUM(K142:K145)</f>
        <v>59500</v>
      </c>
      <c r="M142" s="228"/>
      <c r="N142" s="109"/>
      <c r="O142" s="109"/>
      <c r="P142" s="109"/>
      <c r="Q142" s="109"/>
    </row>
    <row r="143" spans="1:17" outlineLevel="1">
      <c r="A143" s="109"/>
      <c r="B143" s="1164"/>
      <c r="C143" s="1160"/>
      <c r="D143" s="1160"/>
      <c r="E143" s="370" t="s">
        <v>715</v>
      </c>
      <c r="F143" s="467" t="s">
        <v>501</v>
      </c>
      <c r="G143" s="371">
        <v>300</v>
      </c>
      <c r="H143" s="371" t="s">
        <v>360</v>
      </c>
      <c r="I143" s="372">
        <f>+VLOOKUP(E143,'Line items'!$B$3:$D$102,3,FALSE)</f>
        <v>70</v>
      </c>
      <c r="J143" s="372">
        <f t="shared" si="10"/>
        <v>21000</v>
      </c>
      <c r="K143" s="1160"/>
      <c r="L143" s="1149"/>
      <c r="M143" s="228"/>
      <c r="N143" s="109"/>
      <c r="O143" s="109"/>
      <c r="P143" s="109"/>
      <c r="Q143" s="109"/>
    </row>
    <row r="144" spans="1:17" outlineLevel="1">
      <c r="A144" s="109"/>
      <c r="B144" s="1164"/>
      <c r="C144" s="1160"/>
      <c r="D144" s="620" t="s">
        <v>449</v>
      </c>
      <c r="E144" s="374" t="s">
        <v>88</v>
      </c>
      <c r="F144" s="467"/>
      <c r="G144" s="375"/>
      <c r="H144" s="375"/>
      <c r="I144" s="376"/>
      <c r="J144" s="376"/>
      <c r="K144" s="534"/>
      <c r="L144" s="1149"/>
      <c r="M144" s="228"/>
      <c r="N144" s="109"/>
      <c r="O144" s="109"/>
      <c r="P144" s="109"/>
      <c r="Q144" s="109"/>
    </row>
    <row r="145" spans="1:17" ht="14" outlineLevel="1" thickBot="1">
      <c r="A145" s="109"/>
      <c r="B145" s="1165"/>
      <c r="C145" s="1166"/>
      <c r="D145" s="631" t="s">
        <v>450</v>
      </c>
      <c r="E145" s="439" t="s">
        <v>723</v>
      </c>
      <c r="F145" s="468" t="s">
        <v>501</v>
      </c>
      <c r="G145" s="440">
        <v>300</v>
      </c>
      <c r="H145" s="440" t="s">
        <v>360</v>
      </c>
      <c r="I145" s="408">
        <f>+VLOOKUP(E145,'Line items'!$B$3:$D$102,3,FALSE)</f>
        <v>120</v>
      </c>
      <c r="J145" s="408">
        <f t="shared" si="10"/>
        <v>36000</v>
      </c>
      <c r="K145" s="637">
        <f>+J145</f>
        <v>36000</v>
      </c>
      <c r="L145" s="1150"/>
      <c r="M145" s="228"/>
      <c r="N145" s="109"/>
      <c r="O145" s="109"/>
      <c r="P145" s="109"/>
      <c r="Q145" s="109"/>
    </row>
    <row r="146" spans="1:17" ht="14" thickBot="1">
      <c r="A146" s="109"/>
      <c r="B146" s="568">
        <v>3.2</v>
      </c>
      <c r="C146" s="1174" t="s">
        <v>43</v>
      </c>
      <c r="D146" s="1174"/>
      <c r="E146" s="1174"/>
      <c r="F146" s="721"/>
      <c r="G146" s="570"/>
      <c r="H146" s="570"/>
      <c r="I146" s="571"/>
      <c r="J146" s="571"/>
      <c r="K146" s="572"/>
      <c r="L146" s="573"/>
      <c r="M146" s="228"/>
      <c r="N146" s="109"/>
      <c r="O146" s="109"/>
      <c r="P146" s="109"/>
      <c r="Q146" s="109"/>
    </row>
    <row r="147" spans="1:17" outlineLevel="1">
      <c r="A147" s="109"/>
      <c r="B147" s="1177" t="s">
        <v>542</v>
      </c>
      <c r="C147" s="1178"/>
      <c r="D147" s="1178" t="s">
        <v>451</v>
      </c>
      <c r="E147" s="401"/>
      <c r="F147" s="469"/>
      <c r="G147" s="402"/>
      <c r="H147" s="402"/>
      <c r="I147" s="403"/>
      <c r="J147" s="403"/>
      <c r="K147" s="1186">
        <f>+SUM(J147:J149)</f>
        <v>21700</v>
      </c>
      <c r="L147" s="1145">
        <f>+SUM(K147:K151)</f>
        <v>57700</v>
      </c>
      <c r="M147" s="228"/>
      <c r="N147" s="109"/>
      <c r="O147" s="109"/>
      <c r="P147" s="109"/>
      <c r="Q147" s="109"/>
    </row>
    <row r="148" spans="1:17" outlineLevel="1">
      <c r="A148" s="109"/>
      <c r="B148" s="1179"/>
      <c r="C148" s="1180"/>
      <c r="D148" s="1180"/>
      <c r="E148" s="370" t="s">
        <v>715</v>
      </c>
      <c r="F148" s="467" t="s">
        <v>501</v>
      </c>
      <c r="G148" s="375">
        <v>300</v>
      </c>
      <c r="H148" s="375" t="s">
        <v>360</v>
      </c>
      <c r="I148" s="372">
        <f>+VLOOKUP(E148,'Line items'!$B$3:$D$102,3,FALSE)</f>
        <v>70</v>
      </c>
      <c r="J148" s="376">
        <f t="shared" si="10"/>
        <v>21000</v>
      </c>
      <c r="K148" s="1180"/>
      <c r="L148" s="1146"/>
      <c r="M148" s="228"/>
      <c r="N148" s="109"/>
      <c r="O148" s="109"/>
      <c r="P148" s="109"/>
      <c r="Q148" s="109"/>
    </row>
    <row r="149" spans="1:17" outlineLevel="1">
      <c r="A149" s="109"/>
      <c r="B149" s="1179"/>
      <c r="C149" s="1180"/>
      <c r="D149" s="1180"/>
      <c r="E149" s="374" t="s">
        <v>705</v>
      </c>
      <c r="F149" s="467"/>
      <c r="G149" s="375">
        <v>1</v>
      </c>
      <c r="H149" s="375" t="s">
        <v>364</v>
      </c>
      <c r="I149" s="372">
        <f>+VLOOKUP(E149,'Line items'!$B$3:$D$102,3,FALSE)</f>
        <v>700</v>
      </c>
      <c r="J149" s="376">
        <f t="shared" si="10"/>
        <v>700</v>
      </c>
      <c r="K149" s="1180"/>
      <c r="L149" s="1146"/>
      <c r="M149" s="228"/>
      <c r="N149" s="109"/>
      <c r="O149" s="109"/>
      <c r="P149" s="109"/>
      <c r="Q149" s="109"/>
    </row>
    <row r="150" spans="1:17" outlineLevel="1">
      <c r="A150" s="109"/>
      <c r="B150" s="1179"/>
      <c r="C150" s="1180"/>
      <c r="D150" s="645" t="s">
        <v>452</v>
      </c>
      <c r="E150" s="374" t="s">
        <v>88</v>
      </c>
      <c r="F150" s="467"/>
      <c r="G150" s="375"/>
      <c r="H150" s="375"/>
      <c r="I150" s="376"/>
      <c r="J150" s="376"/>
      <c r="K150" s="534"/>
      <c r="L150" s="1146"/>
      <c r="M150" s="228"/>
      <c r="N150" s="109"/>
      <c r="O150" s="109"/>
      <c r="P150" s="109"/>
      <c r="Q150" s="109"/>
    </row>
    <row r="151" spans="1:17" ht="14" outlineLevel="1" thickBot="1">
      <c r="A151" s="109"/>
      <c r="B151" s="1181"/>
      <c r="C151" s="1182"/>
      <c r="D151" s="650" t="s">
        <v>453</v>
      </c>
      <c r="E151" s="439" t="s">
        <v>716</v>
      </c>
      <c r="F151" s="468" t="s">
        <v>501</v>
      </c>
      <c r="G151" s="397">
        <v>300</v>
      </c>
      <c r="H151" s="397" t="s">
        <v>360</v>
      </c>
      <c r="I151" s="408">
        <f>+VLOOKUP(E151,'Line items'!$B$3:$D$102,3,FALSE)</f>
        <v>120</v>
      </c>
      <c r="J151" s="398">
        <f t="shared" si="10"/>
        <v>36000</v>
      </c>
      <c r="K151" s="551">
        <f>+J151</f>
        <v>36000</v>
      </c>
      <c r="L151" s="1152"/>
      <c r="M151" s="228"/>
      <c r="N151" s="109"/>
      <c r="O151" s="109"/>
      <c r="P151" s="109"/>
      <c r="Q151" s="109"/>
    </row>
    <row r="152" spans="1:17" outlineLevel="1">
      <c r="A152" s="109"/>
      <c r="B152" s="1177" t="s">
        <v>543</v>
      </c>
      <c r="C152" s="1178"/>
      <c r="D152" s="1178" t="s">
        <v>454</v>
      </c>
      <c r="E152" s="401"/>
      <c r="F152" s="469"/>
      <c r="G152" s="402"/>
      <c r="H152" s="402"/>
      <c r="I152" s="403"/>
      <c r="J152" s="403"/>
      <c r="K152" s="1186">
        <f>+SUM(J152:J153)</f>
        <v>700</v>
      </c>
      <c r="L152" s="1145">
        <f>+SUM(K152:K155)</f>
        <v>41700</v>
      </c>
      <c r="M152" s="228"/>
      <c r="N152" s="109"/>
      <c r="O152" s="109"/>
      <c r="P152" s="109"/>
      <c r="Q152" s="109"/>
    </row>
    <row r="153" spans="1:17" outlineLevel="1">
      <c r="A153" s="109"/>
      <c r="B153" s="1179"/>
      <c r="C153" s="1180"/>
      <c r="D153" s="1180"/>
      <c r="E153" s="374" t="s">
        <v>705</v>
      </c>
      <c r="F153" s="467"/>
      <c r="G153" s="375">
        <v>1</v>
      </c>
      <c r="H153" s="375" t="s">
        <v>364</v>
      </c>
      <c r="I153" s="372">
        <f>+VLOOKUP(E153,'Line items'!$B$3:$D$102,3,FALSE)</f>
        <v>700</v>
      </c>
      <c r="J153" s="376">
        <f t="shared" si="10"/>
        <v>700</v>
      </c>
      <c r="K153" s="1180"/>
      <c r="L153" s="1146"/>
      <c r="M153" s="228"/>
      <c r="N153" s="109"/>
      <c r="O153" s="109"/>
      <c r="P153" s="109"/>
      <c r="Q153" s="109"/>
    </row>
    <row r="154" spans="1:17" outlineLevel="1">
      <c r="A154" s="109"/>
      <c r="B154" s="1179"/>
      <c r="C154" s="1180"/>
      <c r="D154" s="645" t="s">
        <v>455</v>
      </c>
      <c r="E154" s="374" t="s">
        <v>717</v>
      </c>
      <c r="F154" s="467" t="s">
        <v>507</v>
      </c>
      <c r="G154" s="375">
        <v>1</v>
      </c>
      <c r="H154" s="375" t="s">
        <v>364</v>
      </c>
      <c r="I154" s="372">
        <f>+VLOOKUP(E154,'Line items'!$B$3:$D$102,3,FALSE)</f>
        <v>5000</v>
      </c>
      <c r="J154" s="376">
        <f t="shared" si="10"/>
        <v>5000</v>
      </c>
      <c r="K154" s="534">
        <f>+J154</f>
        <v>5000</v>
      </c>
      <c r="L154" s="1146"/>
      <c r="M154" s="228"/>
      <c r="N154" s="109"/>
      <c r="O154" s="109"/>
      <c r="P154" s="109"/>
      <c r="Q154" s="109"/>
    </row>
    <row r="155" spans="1:17" ht="14" outlineLevel="1" thickBot="1">
      <c r="A155" s="109"/>
      <c r="B155" s="1181"/>
      <c r="C155" s="1182"/>
      <c r="D155" s="650" t="s">
        <v>456</v>
      </c>
      <c r="E155" s="439" t="s">
        <v>716</v>
      </c>
      <c r="F155" s="468" t="s">
        <v>501</v>
      </c>
      <c r="G155" s="397">
        <v>300</v>
      </c>
      <c r="H155" s="397" t="s">
        <v>360</v>
      </c>
      <c r="I155" s="408">
        <f>+VLOOKUP(E155,'Line items'!$B$3:$D$102,3,FALSE)</f>
        <v>120</v>
      </c>
      <c r="J155" s="398">
        <f t="shared" si="10"/>
        <v>36000</v>
      </c>
      <c r="K155" s="551">
        <f t="shared" ref="K155:K158" si="11">+J155</f>
        <v>36000</v>
      </c>
      <c r="L155" s="1152"/>
      <c r="M155" s="228"/>
      <c r="N155" s="109"/>
      <c r="O155" s="109"/>
      <c r="P155" s="109"/>
      <c r="Q155" s="109"/>
    </row>
    <row r="156" spans="1:17" outlineLevel="1">
      <c r="A156" s="109"/>
      <c r="B156" s="1199" t="s">
        <v>544</v>
      </c>
      <c r="C156" s="1200"/>
      <c r="D156" s="647" t="s">
        <v>457</v>
      </c>
      <c r="E156" s="387" t="s">
        <v>88</v>
      </c>
      <c r="F156" s="489"/>
      <c r="G156" s="388"/>
      <c r="H156" s="388"/>
      <c r="I156" s="389"/>
      <c r="J156" s="389"/>
      <c r="K156" s="545"/>
      <c r="L156" s="1153">
        <f>+SUM(K156:K158)</f>
        <v>2000</v>
      </c>
      <c r="M156" s="228"/>
      <c r="N156" s="109"/>
      <c r="O156" s="109"/>
      <c r="P156" s="109"/>
      <c r="Q156" s="109"/>
    </row>
    <row r="157" spans="1:17" outlineLevel="1">
      <c r="A157" s="109"/>
      <c r="B157" s="1179"/>
      <c r="C157" s="1180"/>
      <c r="D157" s="645" t="s">
        <v>458</v>
      </c>
      <c r="E157" s="374" t="s">
        <v>88</v>
      </c>
      <c r="F157" s="467"/>
      <c r="G157" s="375"/>
      <c r="H157" s="375"/>
      <c r="I157" s="376"/>
      <c r="J157" s="376"/>
      <c r="K157" s="534"/>
      <c r="L157" s="1146"/>
      <c r="M157" s="228"/>
      <c r="N157" s="109"/>
      <c r="O157" s="109"/>
      <c r="P157" s="109"/>
      <c r="Q157" s="109"/>
    </row>
    <row r="158" spans="1:17" ht="14" outlineLevel="1" thickBot="1">
      <c r="A158" s="109"/>
      <c r="B158" s="1181"/>
      <c r="C158" s="1182"/>
      <c r="D158" s="650" t="s">
        <v>459</v>
      </c>
      <c r="E158" s="396" t="s">
        <v>326</v>
      </c>
      <c r="F158" s="468" t="s">
        <v>500</v>
      </c>
      <c r="G158" s="397">
        <v>1</v>
      </c>
      <c r="H158" s="397" t="s">
        <v>364</v>
      </c>
      <c r="I158" s="408">
        <f>+VLOOKUP(E158,'Line items'!$B$3:$D$102,3,FALSE)</f>
        <v>2000</v>
      </c>
      <c r="J158" s="398">
        <f t="shared" si="10"/>
        <v>2000</v>
      </c>
      <c r="K158" s="551">
        <f t="shared" si="11"/>
        <v>2000</v>
      </c>
      <c r="L158" s="1152"/>
      <c r="M158" s="228"/>
      <c r="N158" s="109"/>
      <c r="O158" s="109"/>
      <c r="P158" s="109"/>
      <c r="Q158" s="109"/>
    </row>
    <row r="159" spans="1:17" ht="14" thickBot="1">
      <c r="A159" s="109"/>
      <c r="B159" s="568">
        <v>3.3</v>
      </c>
      <c r="C159" s="1174" t="s">
        <v>44</v>
      </c>
      <c r="D159" s="1174"/>
      <c r="E159" s="1174"/>
      <c r="F159" s="721"/>
      <c r="G159" s="570"/>
      <c r="H159" s="570"/>
      <c r="I159" s="571"/>
      <c r="J159" s="571"/>
      <c r="K159" s="572"/>
      <c r="L159" s="573"/>
      <c r="M159" s="228"/>
      <c r="N159" s="109"/>
      <c r="O159" s="109"/>
      <c r="P159" s="109"/>
      <c r="Q159" s="109"/>
    </row>
    <row r="160" spans="1:17" outlineLevel="1">
      <c r="A160" s="109"/>
      <c r="B160" s="1162" t="s">
        <v>545</v>
      </c>
      <c r="C160" s="1163"/>
      <c r="D160" s="1178" t="s">
        <v>460</v>
      </c>
      <c r="E160" s="401" t="s">
        <v>327</v>
      </c>
      <c r="F160" s="469"/>
      <c r="G160" s="402"/>
      <c r="H160" s="402"/>
      <c r="I160" s="403"/>
      <c r="J160" s="403">
        <f t="shared" si="10"/>
        <v>0</v>
      </c>
      <c r="K160" s="1186">
        <f>+SUM(J160:J162)</f>
        <v>0</v>
      </c>
      <c r="L160" s="1151">
        <f>+SUM(K160:K164)</f>
        <v>0</v>
      </c>
      <c r="M160" s="228"/>
      <c r="N160" s="109"/>
      <c r="O160" s="109"/>
      <c r="P160" s="109"/>
      <c r="Q160" s="109"/>
    </row>
    <row r="161" spans="1:17" outlineLevel="1">
      <c r="A161" s="109"/>
      <c r="B161" s="1164"/>
      <c r="C161" s="1160"/>
      <c r="D161" s="1180"/>
      <c r="E161" s="374" t="s">
        <v>328</v>
      </c>
      <c r="F161" s="467"/>
      <c r="G161" s="375"/>
      <c r="H161" s="375"/>
      <c r="I161" s="376"/>
      <c r="J161" s="376">
        <f t="shared" si="10"/>
        <v>0</v>
      </c>
      <c r="K161" s="1180"/>
      <c r="L161" s="1149"/>
      <c r="M161" s="228"/>
      <c r="N161" s="109"/>
      <c r="O161" s="109"/>
      <c r="P161" s="109"/>
      <c r="Q161" s="109"/>
    </row>
    <row r="162" spans="1:17" outlineLevel="1">
      <c r="A162" s="109"/>
      <c r="B162" s="1164"/>
      <c r="C162" s="1160"/>
      <c r="D162" s="1180"/>
      <c r="E162" s="374" t="s">
        <v>329</v>
      </c>
      <c r="F162" s="467"/>
      <c r="G162" s="375"/>
      <c r="H162" s="375"/>
      <c r="I162" s="376"/>
      <c r="J162" s="376">
        <f t="shared" si="10"/>
        <v>0</v>
      </c>
      <c r="K162" s="1180"/>
      <c r="L162" s="1149"/>
      <c r="M162" s="228"/>
      <c r="N162" s="109"/>
      <c r="O162" s="109"/>
      <c r="P162" s="109"/>
      <c r="Q162" s="109"/>
    </row>
    <row r="163" spans="1:17" outlineLevel="1">
      <c r="A163" s="109"/>
      <c r="B163" s="1164"/>
      <c r="C163" s="1160"/>
      <c r="D163" s="620" t="s">
        <v>461</v>
      </c>
      <c r="E163" s="374" t="s">
        <v>88</v>
      </c>
      <c r="F163" s="467"/>
      <c r="G163" s="375"/>
      <c r="H163" s="375"/>
      <c r="I163" s="376"/>
      <c r="J163" s="376"/>
      <c r="K163" s="534"/>
      <c r="L163" s="1149"/>
      <c r="M163" s="228"/>
      <c r="N163" s="109"/>
      <c r="O163" s="109"/>
      <c r="P163" s="109"/>
      <c r="Q163" s="109"/>
    </row>
    <row r="164" spans="1:17" ht="14" outlineLevel="1" thickBot="1">
      <c r="A164" s="109"/>
      <c r="B164" s="1165"/>
      <c r="C164" s="1166"/>
      <c r="D164" s="631" t="s">
        <v>462</v>
      </c>
      <c r="E164" s="396" t="s">
        <v>202</v>
      </c>
      <c r="F164" s="468"/>
      <c r="G164" s="397"/>
      <c r="H164" s="397"/>
      <c r="I164" s="398"/>
      <c r="J164" s="398">
        <f t="shared" si="10"/>
        <v>0</v>
      </c>
      <c r="K164" s="551">
        <f>+J164</f>
        <v>0</v>
      </c>
      <c r="L164" s="1150"/>
      <c r="M164" s="228"/>
      <c r="N164" s="109"/>
      <c r="O164" s="109"/>
      <c r="P164" s="109"/>
      <c r="Q164" s="109"/>
    </row>
    <row r="165" spans="1:17" outlineLevel="1">
      <c r="A165" s="109"/>
      <c r="B165" s="1177" t="s">
        <v>546</v>
      </c>
      <c r="C165" s="1178"/>
      <c r="D165" s="1178" t="s">
        <v>463</v>
      </c>
      <c r="E165" s="401" t="s">
        <v>718</v>
      </c>
      <c r="F165" s="469" t="s">
        <v>502</v>
      </c>
      <c r="G165" s="402">
        <v>300</v>
      </c>
      <c r="H165" s="402" t="s">
        <v>360</v>
      </c>
      <c r="I165" s="394">
        <f>+VLOOKUP(E165,'Line items'!$B$3:$D$102,3,FALSE)</f>
        <v>10</v>
      </c>
      <c r="J165" s="403">
        <f t="shared" si="10"/>
        <v>3000</v>
      </c>
      <c r="K165" s="1186">
        <f>+SUM(J165:J166)</f>
        <v>4040</v>
      </c>
      <c r="L165" s="1145">
        <f>+SUM(K165:K168)</f>
        <v>5080</v>
      </c>
      <c r="M165" s="228"/>
      <c r="N165" s="109"/>
      <c r="O165" s="109"/>
      <c r="P165" s="109"/>
      <c r="Q165" s="109"/>
    </row>
    <row r="166" spans="1:17" outlineLevel="1">
      <c r="A166" s="109"/>
      <c r="B166" s="1179"/>
      <c r="C166" s="1180"/>
      <c r="D166" s="1180"/>
      <c r="E166" s="374" t="s">
        <v>330</v>
      </c>
      <c r="F166" s="467" t="s">
        <v>500</v>
      </c>
      <c r="G166" s="375">
        <v>8</v>
      </c>
      <c r="H166" s="375" t="s">
        <v>364</v>
      </c>
      <c r="I166" s="372">
        <f>+VLOOKUP(E166,'Line items'!$B$3:$D$102,3,FALSE)</f>
        <v>130</v>
      </c>
      <c r="J166" s="376">
        <f t="shared" ref="J166" si="12">+I166*G166</f>
        <v>1040</v>
      </c>
      <c r="K166" s="1180"/>
      <c r="L166" s="1146"/>
      <c r="M166" s="228"/>
      <c r="N166" s="109"/>
      <c r="O166" s="109"/>
      <c r="P166" s="109"/>
      <c r="Q166" s="109"/>
    </row>
    <row r="167" spans="1:17" outlineLevel="1">
      <c r="A167" s="109"/>
      <c r="B167" s="1179"/>
      <c r="C167" s="1180"/>
      <c r="D167" s="645" t="s">
        <v>464</v>
      </c>
      <c r="E167" s="374" t="s">
        <v>88</v>
      </c>
      <c r="F167" s="467"/>
      <c r="G167" s="375"/>
      <c r="H167" s="375"/>
      <c r="I167" s="376"/>
      <c r="J167" s="376"/>
      <c r="K167" s="534"/>
      <c r="L167" s="1146"/>
      <c r="M167" s="228"/>
      <c r="N167" s="109"/>
      <c r="O167" s="109"/>
      <c r="P167" s="109"/>
      <c r="Q167" s="109"/>
    </row>
    <row r="168" spans="1:17" ht="14" outlineLevel="1" thickBot="1">
      <c r="A168" s="109"/>
      <c r="B168" s="1181"/>
      <c r="C168" s="1182"/>
      <c r="D168" s="650" t="s">
        <v>465</v>
      </c>
      <c r="E168" s="396" t="s">
        <v>330</v>
      </c>
      <c r="F168" s="468" t="s">
        <v>500</v>
      </c>
      <c r="G168" s="397">
        <f>+G166</f>
        <v>8</v>
      </c>
      <c r="H168" s="397" t="s">
        <v>364</v>
      </c>
      <c r="I168" s="408">
        <f>+VLOOKUP(E168,'Line items'!$B$3:$D$102,3,FALSE)</f>
        <v>130</v>
      </c>
      <c r="J168" s="398">
        <f t="shared" si="10"/>
        <v>1040</v>
      </c>
      <c r="K168" s="551">
        <f t="shared" ref="K168" si="13">+J168</f>
        <v>1040</v>
      </c>
      <c r="L168" s="1152"/>
      <c r="M168" s="228"/>
      <c r="N168" s="109"/>
      <c r="O168" s="109"/>
      <c r="P168" s="109"/>
      <c r="Q168" s="109"/>
    </row>
    <row r="169" spans="1:17" outlineLevel="1">
      <c r="A169" s="109"/>
      <c r="B169" s="1177" t="s">
        <v>547</v>
      </c>
      <c r="C169" s="1178"/>
      <c r="D169" s="1178" t="s">
        <v>466</v>
      </c>
      <c r="E169" s="401"/>
      <c r="F169" s="469"/>
      <c r="G169" s="402"/>
      <c r="H169" s="402"/>
      <c r="I169" s="403"/>
      <c r="J169" s="403"/>
      <c r="K169" s="1186">
        <f>+SUM(J169:J171)</f>
        <v>4040</v>
      </c>
      <c r="L169" s="1145">
        <f>+SUM(K169:K173)</f>
        <v>5080</v>
      </c>
      <c r="M169" s="228"/>
      <c r="N169" s="109"/>
      <c r="O169" s="109"/>
      <c r="P169" s="109"/>
      <c r="Q169" s="109"/>
    </row>
    <row r="170" spans="1:17" outlineLevel="1">
      <c r="A170" s="109"/>
      <c r="B170" s="1179"/>
      <c r="C170" s="1180"/>
      <c r="D170" s="1180"/>
      <c r="E170" s="374" t="s">
        <v>718</v>
      </c>
      <c r="F170" s="467" t="s">
        <v>502</v>
      </c>
      <c r="G170" s="375">
        <v>300</v>
      </c>
      <c r="H170" s="375" t="s">
        <v>360</v>
      </c>
      <c r="I170" s="372">
        <f>+VLOOKUP(E170,'Line items'!$B$3:$D$102,3,FALSE)</f>
        <v>10</v>
      </c>
      <c r="J170" s="376">
        <f t="shared" ref="J170" si="14">+I170*G170</f>
        <v>3000</v>
      </c>
      <c r="K170" s="1180"/>
      <c r="L170" s="1146"/>
      <c r="M170" s="228"/>
      <c r="N170" s="109"/>
      <c r="O170" s="109"/>
      <c r="P170" s="109"/>
      <c r="Q170" s="109"/>
    </row>
    <row r="171" spans="1:17" outlineLevel="1">
      <c r="A171" s="109"/>
      <c r="B171" s="1179"/>
      <c r="C171" s="1180"/>
      <c r="D171" s="1180"/>
      <c r="E171" s="374" t="s">
        <v>330</v>
      </c>
      <c r="F171" s="467" t="s">
        <v>500</v>
      </c>
      <c r="G171" s="375">
        <v>8</v>
      </c>
      <c r="H171" s="375" t="s">
        <v>364</v>
      </c>
      <c r="I171" s="372">
        <f>+VLOOKUP(E171,'Line items'!$B$3:$D$102,3,FALSE)</f>
        <v>130</v>
      </c>
      <c r="J171" s="376">
        <f t="shared" si="10"/>
        <v>1040</v>
      </c>
      <c r="K171" s="1180"/>
      <c r="L171" s="1146"/>
      <c r="M171" s="228"/>
      <c r="N171" s="109"/>
      <c r="O171" s="109"/>
      <c r="P171" s="109"/>
      <c r="Q171" s="109"/>
    </row>
    <row r="172" spans="1:17" outlineLevel="1">
      <c r="A172" s="109"/>
      <c r="B172" s="1179"/>
      <c r="C172" s="1180"/>
      <c r="D172" s="645" t="s">
        <v>467</v>
      </c>
      <c r="E172" s="374" t="s">
        <v>88</v>
      </c>
      <c r="F172" s="467"/>
      <c r="G172" s="375"/>
      <c r="H172" s="375"/>
      <c r="I172" s="376"/>
      <c r="J172" s="376"/>
      <c r="K172" s="534"/>
      <c r="L172" s="1146"/>
      <c r="M172" s="228"/>
      <c r="N172" s="109"/>
      <c r="O172" s="109"/>
      <c r="P172" s="109"/>
      <c r="Q172" s="109"/>
    </row>
    <row r="173" spans="1:17" ht="14" outlineLevel="1" thickBot="1">
      <c r="A173" s="109"/>
      <c r="B173" s="1181"/>
      <c r="C173" s="1182"/>
      <c r="D173" s="650" t="s">
        <v>468</v>
      </c>
      <c r="E173" s="396" t="s">
        <v>330</v>
      </c>
      <c r="F173" s="468" t="s">
        <v>500</v>
      </c>
      <c r="G173" s="397">
        <f>+G171</f>
        <v>8</v>
      </c>
      <c r="H173" s="397" t="s">
        <v>364</v>
      </c>
      <c r="I173" s="408">
        <f>+VLOOKUP(E173,'Line items'!$B$3:$D$102,3,FALSE)</f>
        <v>130</v>
      </c>
      <c r="J173" s="398">
        <f t="shared" si="10"/>
        <v>1040</v>
      </c>
      <c r="K173" s="551">
        <f>+J173</f>
        <v>1040</v>
      </c>
      <c r="L173" s="1152"/>
      <c r="M173" s="228"/>
      <c r="N173" s="109"/>
      <c r="O173" s="109"/>
      <c r="P173" s="109"/>
      <c r="Q173" s="109"/>
    </row>
    <row r="174" spans="1:17" ht="14" thickBot="1">
      <c r="A174" s="109"/>
      <c r="B174" s="519">
        <v>3.4</v>
      </c>
      <c r="C174" s="1173" t="s">
        <v>45</v>
      </c>
      <c r="D174" s="1173"/>
      <c r="E174" s="1173"/>
      <c r="F174" s="720"/>
      <c r="G174" s="521"/>
      <c r="H174" s="521"/>
      <c r="I174" s="522"/>
      <c r="J174" s="522"/>
      <c r="K174" s="566"/>
      <c r="L174" s="567"/>
      <c r="M174" s="228"/>
      <c r="N174" s="109"/>
      <c r="O174" s="109"/>
      <c r="P174" s="109"/>
      <c r="Q174" s="109"/>
    </row>
    <row r="175" spans="1:17" outlineLevel="1">
      <c r="A175" s="109"/>
      <c r="B175" s="1177" t="s">
        <v>548</v>
      </c>
      <c r="C175" s="1178"/>
      <c r="D175" s="649" t="s">
        <v>469</v>
      </c>
      <c r="E175" s="401" t="s">
        <v>88</v>
      </c>
      <c r="F175" s="469"/>
      <c r="G175" s="402"/>
      <c r="H175" s="402"/>
      <c r="I175" s="403"/>
      <c r="J175" s="403"/>
      <c r="K175" s="557"/>
      <c r="L175" s="1145">
        <f>+SUM(K175:K177)</f>
        <v>2500</v>
      </c>
      <c r="M175" s="228"/>
      <c r="N175" s="109"/>
      <c r="O175" s="109"/>
      <c r="P175" s="109"/>
      <c r="Q175" s="109"/>
    </row>
    <row r="176" spans="1:17" outlineLevel="1">
      <c r="A176" s="109"/>
      <c r="B176" s="1179"/>
      <c r="C176" s="1180"/>
      <c r="D176" s="645" t="s">
        <v>470</v>
      </c>
      <c r="E176" s="370" t="s">
        <v>720</v>
      </c>
      <c r="F176" s="467"/>
      <c r="G176" s="375">
        <v>1</v>
      </c>
      <c r="H176" s="375" t="s">
        <v>364</v>
      </c>
      <c r="I176" s="372">
        <f>+VLOOKUP(E176,'Line items'!$B$3:$D$102,3,FALSE)</f>
        <v>2500</v>
      </c>
      <c r="J176" s="376">
        <f t="shared" si="10"/>
        <v>2500</v>
      </c>
      <c r="K176" s="534">
        <f t="shared" ref="K176:K185" si="15">+J176</f>
        <v>2500</v>
      </c>
      <c r="L176" s="1146"/>
      <c r="M176" s="228"/>
      <c r="N176" s="109"/>
      <c r="O176" s="109"/>
      <c r="P176" s="109"/>
      <c r="Q176" s="109"/>
    </row>
    <row r="177" spans="1:17" ht="14" outlineLevel="1" thickBot="1">
      <c r="A177" s="109"/>
      <c r="B177" s="1181"/>
      <c r="C177" s="1182"/>
      <c r="D177" s="650" t="s">
        <v>471</v>
      </c>
      <c r="E177" s="396" t="s">
        <v>88</v>
      </c>
      <c r="F177" s="468"/>
      <c r="G177" s="397"/>
      <c r="H177" s="397"/>
      <c r="I177" s="398"/>
      <c r="J177" s="398"/>
      <c r="K177" s="551"/>
      <c r="L177" s="1152"/>
      <c r="M177" s="228"/>
      <c r="N177" s="109"/>
      <c r="O177" s="109"/>
      <c r="P177" s="109"/>
      <c r="Q177" s="109"/>
    </row>
    <row r="178" spans="1:17" outlineLevel="1">
      <c r="A178" s="109"/>
      <c r="B178" s="1177" t="s">
        <v>549</v>
      </c>
      <c r="C178" s="1178"/>
      <c r="D178" s="649" t="s">
        <v>472</v>
      </c>
      <c r="E178" s="401" t="s">
        <v>88</v>
      </c>
      <c r="F178" s="469"/>
      <c r="G178" s="402"/>
      <c r="H178" s="402"/>
      <c r="I178" s="403"/>
      <c r="J178" s="403"/>
      <c r="K178" s="557"/>
      <c r="L178" s="1145">
        <f>+SUM(K178:K180)</f>
        <v>0</v>
      </c>
      <c r="M178" s="228"/>
      <c r="N178" s="109"/>
      <c r="O178" s="109"/>
      <c r="P178" s="109"/>
      <c r="Q178" s="109"/>
    </row>
    <row r="179" spans="1:17" outlineLevel="1">
      <c r="A179" s="109"/>
      <c r="B179" s="1179"/>
      <c r="C179" s="1180"/>
      <c r="D179" s="645" t="s">
        <v>473</v>
      </c>
      <c r="E179" s="374" t="s">
        <v>88</v>
      </c>
      <c r="F179" s="467"/>
      <c r="G179" s="375"/>
      <c r="H179" s="375"/>
      <c r="I179" s="376"/>
      <c r="J179" s="376"/>
      <c r="K179" s="534"/>
      <c r="L179" s="1146"/>
      <c r="M179" s="228"/>
      <c r="N179" s="109"/>
      <c r="O179" s="109"/>
      <c r="P179" s="109"/>
      <c r="Q179" s="109"/>
    </row>
    <row r="180" spans="1:17" ht="14" outlineLevel="1" thickBot="1">
      <c r="A180" s="109"/>
      <c r="B180" s="1181"/>
      <c r="C180" s="1182"/>
      <c r="D180" s="650" t="s">
        <v>474</v>
      </c>
      <c r="E180" s="396" t="s">
        <v>88</v>
      </c>
      <c r="F180" s="468"/>
      <c r="G180" s="397"/>
      <c r="H180" s="397"/>
      <c r="I180" s="398"/>
      <c r="J180" s="398"/>
      <c r="K180" s="551"/>
      <c r="L180" s="1152"/>
      <c r="M180" s="228"/>
      <c r="N180" s="109"/>
      <c r="O180" s="109"/>
      <c r="P180" s="109"/>
      <c r="Q180" s="109"/>
    </row>
    <row r="181" spans="1:17" ht="14" thickBot="1">
      <c r="A181" s="109"/>
      <c r="B181" s="568">
        <v>3.5</v>
      </c>
      <c r="C181" s="1174" t="s">
        <v>46</v>
      </c>
      <c r="D181" s="1174"/>
      <c r="E181" s="1174"/>
      <c r="F181" s="721"/>
      <c r="G181" s="570"/>
      <c r="H181" s="570"/>
      <c r="I181" s="571"/>
      <c r="J181" s="571"/>
      <c r="K181" s="572"/>
      <c r="L181" s="573"/>
      <c r="M181" s="228"/>
      <c r="N181" s="109"/>
      <c r="O181" s="109"/>
      <c r="P181" s="109"/>
      <c r="Q181" s="109"/>
    </row>
    <row r="182" spans="1:17" outlineLevel="1">
      <c r="A182" s="109"/>
      <c r="B182" s="1177" t="s">
        <v>550</v>
      </c>
      <c r="C182" s="1178"/>
      <c r="D182" s="649" t="s">
        <v>475</v>
      </c>
      <c r="E182" s="401" t="s">
        <v>332</v>
      </c>
      <c r="F182" s="469"/>
      <c r="G182" s="402">
        <v>1</v>
      </c>
      <c r="H182" s="402" t="s">
        <v>364</v>
      </c>
      <c r="I182" s="394">
        <f>+VLOOKUP(E182,'Line items'!$B$3:$D$102,3,FALSE)</f>
        <v>5000</v>
      </c>
      <c r="J182" s="403">
        <f t="shared" si="10"/>
        <v>5000</v>
      </c>
      <c r="K182" s="557">
        <f t="shared" si="15"/>
        <v>5000</v>
      </c>
      <c r="L182" s="1145">
        <f>+SUM(K182:K184)</f>
        <v>16000</v>
      </c>
      <c r="M182" s="228"/>
      <c r="N182" s="109"/>
      <c r="O182" s="109"/>
      <c r="P182" s="109"/>
      <c r="Q182" s="109"/>
    </row>
    <row r="183" spans="1:17" outlineLevel="1">
      <c r="A183" s="109"/>
      <c r="B183" s="1179"/>
      <c r="C183" s="1180"/>
      <c r="D183" s="645" t="s">
        <v>476</v>
      </c>
      <c r="E183" s="374" t="s">
        <v>88</v>
      </c>
      <c r="F183" s="467"/>
      <c r="G183" s="375"/>
      <c r="H183" s="375"/>
      <c r="I183" s="376"/>
      <c r="J183" s="376"/>
      <c r="K183" s="534"/>
      <c r="L183" s="1146"/>
      <c r="M183" s="228"/>
      <c r="N183" s="109"/>
      <c r="O183" s="109"/>
      <c r="P183" s="109"/>
      <c r="Q183" s="109"/>
    </row>
    <row r="184" spans="1:17" ht="14" outlineLevel="1" thickBot="1">
      <c r="A184" s="109"/>
      <c r="B184" s="1181"/>
      <c r="C184" s="1182"/>
      <c r="D184" s="650" t="s">
        <v>477</v>
      </c>
      <c r="E184" s="439" t="s">
        <v>721</v>
      </c>
      <c r="F184" s="468"/>
      <c r="G184" s="397">
        <v>100</v>
      </c>
      <c r="H184" s="397" t="s">
        <v>360</v>
      </c>
      <c r="I184" s="408">
        <f>+VLOOKUP(E184,'Line items'!$B$3:$D$102,3,FALSE)</f>
        <v>110</v>
      </c>
      <c r="J184" s="398">
        <f t="shared" ref="J184" si="16">+I184*G184</f>
        <v>11000</v>
      </c>
      <c r="K184" s="551">
        <f t="shared" si="15"/>
        <v>11000</v>
      </c>
      <c r="L184" s="1152"/>
      <c r="M184" s="228"/>
      <c r="N184" s="109"/>
      <c r="O184" s="109"/>
      <c r="P184" s="109"/>
      <c r="Q184" s="109"/>
    </row>
    <row r="185" spans="1:17" outlineLevel="1">
      <c r="A185" s="109"/>
      <c r="B185" s="1177" t="s">
        <v>551</v>
      </c>
      <c r="C185" s="1178"/>
      <c r="D185" s="649" t="s">
        <v>478</v>
      </c>
      <c r="E185" s="392" t="s">
        <v>721</v>
      </c>
      <c r="F185" s="469"/>
      <c r="G185" s="402">
        <v>100</v>
      </c>
      <c r="H185" s="402" t="s">
        <v>360</v>
      </c>
      <c r="I185" s="394">
        <f>+VLOOKUP(E185,'Line items'!$B$3:$D$102,3,FALSE)</f>
        <v>110</v>
      </c>
      <c r="J185" s="403">
        <f t="shared" si="10"/>
        <v>11000</v>
      </c>
      <c r="K185" s="557">
        <f t="shared" si="15"/>
        <v>11000</v>
      </c>
      <c r="L185" s="1145">
        <f>+SUM(K185:K187)</f>
        <v>11000</v>
      </c>
      <c r="M185" s="228"/>
      <c r="N185" s="109"/>
      <c r="O185" s="109"/>
      <c r="P185" s="109"/>
      <c r="Q185" s="109"/>
    </row>
    <row r="186" spans="1:17" outlineLevel="1">
      <c r="A186" s="109"/>
      <c r="B186" s="1179"/>
      <c r="C186" s="1180"/>
      <c r="D186" s="645" t="s">
        <v>479</v>
      </c>
      <c r="E186" s="374" t="s">
        <v>88</v>
      </c>
      <c r="F186" s="467"/>
      <c r="G186" s="375"/>
      <c r="H186" s="375"/>
      <c r="I186" s="376"/>
      <c r="J186" s="376"/>
      <c r="K186" s="534"/>
      <c r="L186" s="1146"/>
      <c r="M186" s="228"/>
      <c r="N186" s="109"/>
      <c r="O186" s="109"/>
      <c r="P186" s="109"/>
      <c r="Q186" s="109"/>
    </row>
    <row r="187" spans="1:17" ht="14" outlineLevel="1" thickBot="1">
      <c r="A187" s="109"/>
      <c r="B187" s="1183"/>
      <c r="C187" s="1184"/>
      <c r="D187" s="646" t="s">
        <v>480</v>
      </c>
      <c r="E187" s="382" t="s">
        <v>88</v>
      </c>
      <c r="F187" s="470"/>
      <c r="G187" s="383"/>
      <c r="H187" s="383"/>
      <c r="I187" s="384"/>
      <c r="J187" s="384"/>
      <c r="K187" s="543"/>
      <c r="L187" s="1147"/>
      <c r="M187" s="228"/>
      <c r="N187" s="109"/>
      <c r="O187" s="109"/>
      <c r="P187" s="109"/>
      <c r="Q187" s="109"/>
    </row>
    <row r="188" spans="1:17" ht="16" thickBot="1">
      <c r="A188" s="109"/>
      <c r="B188" s="1175" t="s">
        <v>54</v>
      </c>
      <c r="C188" s="1176"/>
      <c r="D188" s="1176"/>
      <c r="E188" s="1176"/>
      <c r="F188" s="720"/>
      <c r="G188" s="521"/>
      <c r="H188" s="521"/>
      <c r="I188" s="522"/>
      <c r="J188" s="522"/>
      <c r="K188" s="566"/>
      <c r="L188" s="567"/>
      <c r="M188" s="228"/>
      <c r="N188" s="109"/>
      <c r="O188" s="109"/>
      <c r="P188" s="109"/>
      <c r="Q188" s="109"/>
    </row>
    <row r="189" spans="1:17" ht="14" thickBot="1">
      <c r="A189" s="109"/>
      <c r="B189" s="519">
        <v>3.6</v>
      </c>
      <c r="C189" s="1173" t="s">
        <v>47</v>
      </c>
      <c r="D189" s="1173"/>
      <c r="E189" s="1173"/>
      <c r="F189" s="720"/>
      <c r="G189" s="521"/>
      <c r="H189" s="521"/>
      <c r="I189" s="522"/>
      <c r="J189" s="522"/>
      <c r="K189" s="566"/>
      <c r="L189" s="567"/>
      <c r="M189" s="228"/>
      <c r="N189" s="109"/>
      <c r="O189" s="109"/>
      <c r="P189" s="109"/>
      <c r="Q189" s="109"/>
    </row>
    <row r="190" spans="1:17" outlineLevel="1">
      <c r="A190" s="109"/>
      <c r="B190" s="1177" t="s">
        <v>552</v>
      </c>
      <c r="C190" s="1178"/>
      <c r="D190" s="1178" t="s">
        <v>481</v>
      </c>
      <c r="E190" s="392" t="s">
        <v>722</v>
      </c>
      <c r="F190" s="469"/>
      <c r="G190" s="402">
        <v>12000</v>
      </c>
      <c r="H190" s="402" t="s">
        <v>95</v>
      </c>
      <c r="I190" s="394">
        <f>+VLOOKUP(E190,'Line items'!$B$3:$D$102,3,FALSE)</f>
        <v>10</v>
      </c>
      <c r="J190" s="403">
        <f t="shared" ref="J190:J191" si="17">+I190*G190</f>
        <v>120000</v>
      </c>
      <c r="K190" s="1186">
        <f>+SUM(J190:J191)</f>
        <v>122600</v>
      </c>
      <c r="L190" s="1145">
        <f>+K190</f>
        <v>122600</v>
      </c>
      <c r="M190" s="228"/>
      <c r="N190" s="109"/>
      <c r="O190" s="109"/>
      <c r="P190" s="109"/>
      <c r="Q190" s="109"/>
    </row>
    <row r="191" spans="1:17" outlineLevel="1">
      <c r="A191" s="109"/>
      <c r="B191" s="1179"/>
      <c r="C191" s="1180"/>
      <c r="D191" s="1180"/>
      <c r="E191" s="374" t="s">
        <v>335</v>
      </c>
      <c r="F191" s="467"/>
      <c r="G191" s="375">
        <v>1</v>
      </c>
      <c r="H191" s="375" t="s">
        <v>358</v>
      </c>
      <c r="I191" s="372">
        <f>+VLOOKUP(E191,'Line items'!$B$3:$D$102,3,FALSE)</f>
        <v>2600</v>
      </c>
      <c r="J191" s="376">
        <f t="shared" si="17"/>
        <v>2600</v>
      </c>
      <c r="K191" s="1180"/>
      <c r="L191" s="1146"/>
      <c r="M191" s="228"/>
      <c r="N191" s="109"/>
      <c r="O191" s="109"/>
      <c r="P191" s="109"/>
      <c r="Q191" s="109"/>
    </row>
    <row r="192" spans="1:17" outlineLevel="1">
      <c r="A192" s="109"/>
      <c r="B192" s="1179"/>
      <c r="C192" s="1180"/>
      <c r="D192" s="645" t="s">
        <v>482</v>
      </c>
      <c r="E192" s="374" t="s">
        <v>88</v>
      </c>
      <c r="F192" s="467"/>
      <c r="G192" s="375"/>
      <c r="H192" s="375"/>
      <c r="I192" s="376"/>
      <c r="J192" s="376"/>
      <c r="K192" s="534"/>
      <c r="L192" s="1146"/>
      <c r="M192" s="228"/>
      <c r="N192" s="109"/>
      <c r="O192" s="109"/>
      <c r="P192" s="109"/>
      <c r="Q192" s="109"/>
    </row>
    <row r="193" spans="1:17" ht="14" outlineLevel="1" thickBot="1">
      <c r="A193" s="109"/>
      <c r="B193" s="1181"/>
      <c r="C193" s="1182"/>
      <c r="D193" s="650" t="s">
        <v>483</v>
      </c>
      <c r="E193" s="396" t="s">
        <v>88</v>
      </c>
      <c r="F193" s="468"/>
      <c r="G193" s="397"/>
      <c r="H193" s="397"/>
      <c r="I193" s="398"/>
      <c r="J193" s="398"/>
      <c r="K193" s="551"/>
      <c r="L193" s="1152"/>
      <c r="M193" s="228"/>
      <c r="N193" s="109"/>
      <c r="O193" s="109"/>
      <c r="P193" s="109"/>
      <c r="Q193" s="109"/>
    </row>
    <row r="194" spans="1:17" ht="14" thickBot="1">
      <c r="A194" s="109"/>
      <c r="B194" s="519">
        <v>3.7</v>
      </c>
      <c r="C194" s="1173" t="s">
        <v>48</v>
      </c>
      <c r="D194" s="1173"/>
      <c r="E194" s="1173"/>
      <c r="F194" s="720"/>
      <c r="G194" s="521"/>
      <c r="H194" s="521"/>
      <c r="I194" s="522"/>
      <c r="J194" s="522"/>
      <c r="K194" s="566"/>
      <c r="L194" s="567"/>
      <c r="M194" s="228"/>
      <c r="N194" s="109"/>
      <c r="O194" s="109"/>
      <c r="P194" s="109"/>
      <c r="Q194" s="109"/>
    </row>
    <row r="195" spans="1:17">
      <c r="F195" s="685"/>
    </row>
    <row r="196" spans="1:17">
      <c r="F196" s="685"/>
    </row>
    <row r="197" spans="1:17">
      <c r="F197" s="685"/>
    </row>
    <row r="198" spans="1:17">
      <c r="F198" s="685"/>
    </row>
    <row r="199" spans="1:17">
      <c r="F199" s="685"/>
    </row>
    <row r="200" spans="1:17">
      <c r="F200" s="685"/>
    </row>
    <row r="201" spans="1:17">
      <c r="F201" s="685"/>
    </row>
    <row r="202" spans="1:17">
      <c r="F202" s="685"/>
    </row>
    <row r="203" spans="1:17">
      <c r="F203" s="685"/>
    </row>
    <row r="204" spans="1:17">
      <c r="F204" s="685"/>
    </row>
    <row r="205" spans="1:17">
      <c r="F205" s="685"/>
    </row>
  </sheetData>
  <mergeCells count="156">
    <mergeCell ref="B190:C193"/>
    <mergeCell ref="D190:D191"/>
    <mergeCell ref="B147:C151"/>
    <mergeCell ref="B152:C155"/>
    <mergeCell ref="B156:C158"/>
    <mergeCell ref="D142:D143"/>
    <mergeCell ref="D147:D149"/>
    <mergeCell ref="D152:D153"/>
    <mergeCell ref="D106:D108"/>
    <mergeCell ref="D111:D113"/>
    <mergeCell ref="D122:D123"/>
    <mergeCell ref="D124:D126"/>
    <mergeCell ref="B106:C110"/>
    <mergeCell ref="B111:C115"/>
    <mergeCell ref="B117:C119"/>
    <mergeCell ref="B120:C123"/>
    <mergeCell ref="B124:C128"/>
    <mergeCell ref="C116:E116"/>
    <mergeCell ref="C129:E129"/>
    <mergeCell ref="C141:E141"/>
    <mergeCell ref="C146:E146"/>
    <mergeCell ref="B130:C134"/>
    <mergeCell ref="B135:C139"/>
    <mergeCell ref="D132:D134"/>
    <mergeCell ref="B57:C59"/>
    <mergeCell ref="B61:C65"/>
    <mergeCell ref="D61:D62"/>
    <mergeCell ref="D63:D64"/>
    <mergeCell ref="B67:C70"/>
    <mergeCell ref="D32:D34"/>
    <mergeCell ref="D37:D38"/>
    <mergeCell ref="D42:D44"/>
    <mergeCell ref="D47:D49"/>
    <mergeCell ref="B53:C55"/>
    <mergeCell ref="B32:C36"/>
    <mergeCell ref="B37:C40"/>
    <mergeCell ref="B41:C45"/>
    <mergeCell ref="B46:C50"/>
    <mergeCell ref="B51:C51"/>
    <mergeCell ref="C52:E52"/>
    <mergeCell ref="C56:E56"/>
    <mergeCell ref="D67:D68"/>
    <mergeCell ref="K152:K153"/>
    <mergeCell ref="K160:K162"/>
    <mergeCell ref="K165:K166"/>
    <mergeCell ref="K169:K171"/>
    <mergeCell ref="K190:K191"/>
    <mergeCell ref="K124:K126"/>
    <mergeCell ref="K132:K134"/>
    <mergeCell ref="K137:K139"/>
    <mergeCell ref="K142:K143"/>
    <mergeCell ref="K147:K149"/>
    <mergeCell ref="K100:K101"/>
    <mergeCell ref="K106:K108"/>
    <mergeCell ref="K111:K113"/>
    <mergeCell ref="K122:K123"/>
    <mergeCell ref="K42:K44"/>
    <mergeCell ref="K47:K49"/>
    <mergeCell ref="K61:K62"/>
    <mergeCell ref="K63:K64"/>
    <mergeCell ref="K67:K68"/>
    <mergeCell ref="K74:K77"/>
    <mergeCell ref="K80:K83"/>
    <mergeCell ref="K86:K89"/>
    <mergeCell ref="K92:K95"/>
    <mergeCell ref="K10:K13"/>
    <mergeCell ref="K19:K23"/>
    <mergeCell ref="K26:K28"/>
    <mergeCell ref="K32:K34"/>
    <mergeCell ref="K37:K38"/>
    <mergeCell ref="A6:D6"/>
    <mergeCell ref="A1:D2"/>
    <mergeCell ref="E1:E2"/>
    <mergeCell ref="A3:D3"/>
    <mergeCell ref="A4:D4"/>
    <mergeCell ref="A5:D5"/>
    <mergeCell ref="C31:E31"/>
    <mergeCell ref="C9:E9"/>
    <mergeCell ref="B10:C15"/>
    <mergeCell ref="B16:C18"/>
    <mergeCell ref="B26:C30"/>
    <mergeCell ref="D10:D13"/>
    <mergeCell ref="D19:D23"/>
    <mergeCell ref="D26:D28"/>
    <mergeCell ref="B19:C25"/>
    <mergeCell ref="C194:E194"/>
    <mergeCell ref="C66:E66"/>
    <mergeCell ref="B72:C77"/>
    <mergeCell ref="B78:C83"/>
    <mergeCell ref="B84:C89"/>
    <mergeCell ref="B90:C95"/>
    <mergeCell ref="D74:D77"/>
    <mergeCell ref="D80:D83"/>
    <mergeCell ref="D86:D89"/>
    <mergeCell ref="C159:E159"/>
    <mergeCell ref="C174:E174"/>
    <mergeCell ref="C181:E181"/>
    <mergeCell ref="B188:E188"/>
    <mergeCell ref="C189:E189"/>
    <mergeCell ref="B160:C164"/>
    <mergeCell ref="B165:C168"/>
    <mergeCell ref="B169:C173"/>
    <mergeCell ref="D160:D162"/>
    <mergeCell ref="D165:D166"/>
    <mergeCell ref="D169:D171"/>
    <mergeCell ref="B175:C177"/>
    <mergeCell ref="B178:C180"/>
    <mergeCell ref="B182:C184"/>
    <mergeCell ref="B185:C187"/>
    <mergeCell ref="D137:D139"/>
    <mergeCell ref="B142:C145"/>
    <mergeCell ref="C60:E60"/>
    <mergeCell ref="C71:E71"/>
    <mergeCell ref="C96:E96"/>
    <mergeCell ref="C105:E105"/>
    <mergeCell ref="D92:D95"/>
    <mergeCell ref="B97:C99"/>
    <mergeCell ref="B100:C103"/>
    <mergeCell ref="D100:D101"/>
    <mergeCell ref="L78:L83"/>
    <mergeCell ref="L84:L89"/>
    <mergeCell ref="L90:L95"/>
    <mergeCell ref="L97:L99"/>
    <mergeCell ref="L100:L103"/>
    <mergeCell ref="L16:L18"/>
    <mergeCell ref="L19:L24"/>
    <mergeCell ref="L26:L30"/>
    <mergeCell ref="L32:L36"/>
    <mergeCell ref="L37:L40"/>
    <mergeCell ref="L41:L45"/>
    <mergeCell ref="L46:L50"/>
    <mergeCell ref="L53:L55"/>
    <mergeCell ref="L185:L187"/>
    <mergeCell ref="L10:L15"/>
    <mergeCell ref="L130:L134"/>
    <mergeCell ref="L190:L193"/>
    <mergeCell ref="L147:L151"/>
    <mergeCell ref="L152:L155"/>
    <mergeCell ref="L156:L158"/>
    <mergeCell ref="L160:L164"/>
    <mergeCell ref="L165:L168"/>
    <mergeCell ref="L169:L173"/>
    <mergeCell ref="L175:L177"/>
    <mergeCell ref="L178:L180"/>
    <mergeCell ref="L182:L184"/>
    <mergeCell ref="L106:L110"/>
    <mergeCell ref="L111:L115"/>
    <mergeCell ref="L117:L119"/>
    <mergeCell ref="L120:L123"/>
    <mergeCell ref="L124:L128"/>
    <mergeCell ref="L135:L139"/>
    <mergeCell ref="L142:L145"/>
    <mergeCell ref="L57:L59"/>
    <mergeCell ref="L61:L65"/>
    <mergeCell ref="L67:L70"/>
    <mergeCell ref="L72:L77"/>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9" tint="0.39997558519241921"/>
  </sheetPr>
  <dimension ref="A1:O244"/>
  <sheetViews>
    <sheetView workbookViewId="0">
      <selection sqref="A1:D2"/>
    </sheetView>
  </sheetViews>
  <sheetFormatPr baseColWidth="10" defaultColWidth="8.83203125" defaultRowHeight="14" outlineLevelRow="1" x14ac:dyDescent="0"/>
  <cols>
    <col min="1" max="3" width="8.83203125" style="232"/>
    <col min="4" max="4" width="8.83203125" style="245"/>
    <col min="5" max="5" width="76.83203125" style="232" bestFit="1" customWidth="1"/>
    <col min="6" max="6" width="23.6640625" style="232" bestFit="1" customWidth="1"/>
    <col min="7" max="7" width="9" style="245" bestFit="1" customWidth="1"/>
    <col min="8" max="8" width="5" style="245" bestFit="1" customWidth="1"/>
    <col min="9" max="10" width="15.6640625" style="233" customWidth="1"/>
    <col min="11" max="11" width="15.6640625" style="234" customWidth="1"/>
    <col min="12" max="12" width="20.6640625" style="227" customWidth="1"/>
    <col min="13" max="13" width="10.5" style="232" bestFit="1" customWidth="1"/>
    <col min="14" max="14" width="13.1640625" style="235" bestFit="1" customWidth="1"/>
    <col min="15" max="16384" width="8.83203125" style="232"/>
  </cols>
  <sheetData>
    <row r="1" spans="1:14" ht="15" customHeight="1">
      <c r="A1" s="1188" t="s">
        <v>62</v>
      </c>
      <c r="B1" s="1188"/>
      <c r="C1" s="1188"/>
      <c r="D1" s="1188"/>
      <c r="E1" s="1211" t="s">
        <v>212</v>
      </c>
    </row>
    <row r="2" spans="1:14">
      <c r="A2" s="1188"/>
      <c r="B2" s="1188"/>
      <c r="C2" s="1188"/>
      <c r="D2" s="1188"/>
      <c r="E2" s="1211"/>
    </row>
    <row r="3" spans="1:14" ht="15" customHeight="1">
      <c r="A3" s="1187" t="s">
        <v>64</v>
      </c>
      <c r="B3" s="1187"/>
      <c r="C3" s="1187"/>
      <c r="D3" s="1187"/>
      <c r="E3" s="268">
        <v>12000</v>
      </c>
    </row>
    <row r="4" spans="1:14" ht="15" customHeight="1">
      <c r="A4" s="1187" t="s">
        <v>359</v>
      </c>
      <c r="B4" s="1187"/>
      <c r="C4" s="1187"/>
      <c r="D4" s="1187"/>
      <c r="E4" s="261">
        <v>150</v>
      </c>
    </row>
    <row r="5" spans="1:14" ht="15" customHeight="1">
      <c r="A5" s="1187" t="s">
        <v>491</v>
      </c>
      <c r="B5" s="1187"/>
      <c r="C5" s="1187"/>
      <c r="D5" s="1187"/>
      <c r="E5" s="260">
        <v>3</v>
      </c>
    </row>
    <row r="6" spans="1:14" ht="15" thickBot="1">
      <c r="A6" s="1187" t="s">
        <v>361</v>
      </c>
      <c r="B6" s="1187"/>
      <c r="C6" s="1187"/>
      <c r="D6" s="1187"/>
      <c r="E6" s="261">
        <v>130</v>
      </c>
    </row>
    <row r="7" spans="1:14" ht="27" thickBot="1">
      <c r="F7" s="576" t="s">
        <v>362</v>
      </c>
      <c r="G7" s="577" t="s">
        <v>336</v>
      </c>
      <c r="H7" s="577" t="s">
        <v>337</v>
      </c>
      <c r="I7" s="578" t="s">
        <v>365</v>
      </c>
      <c r="J7" s="578" t="s">
        <v>366</v>
      </c>
      <c r="K7" s="482" t="s">
        <v>560</v>
      </c>
      <c r="L7" s="531" t="s">
        <v>368</v>
      </c>
      <c r="N7" s="228"/>
    </row>
    <row r="8" spans="1:14" s="109" customFormat="1" thickBot="1">
      <c r="B8" s="447">
        <v>1</v>
      </c>
      <c r="C8" s="448" t="s">
        <v>28</v>
      </c>
      <c r="D8" s="628"/>
      <c r="E8" s="450"/>
      <c r="F8" s="451"/>
      <c r="G8" s="451"/>
      <c r="H8" s="451"/>
      <c r="I8" s="662"/>
      <c r="J8" s="451"/>
      <c r="K8" s="452"/>
      <c r="L8" s="590"/>
      <c r="N8" s="228"/>
    </row>
    <row r="9" spans="1:14" s="109" customFormat="1" thickBot="1">
      <c r="B9" s="442">
        <v>1.1000000000000001</v>
      </c>
      <c r="C9" s="454" t="s">
        <v>0</v>
      </c>
      <c r="D9" s="629"/>
      <c r="E9" s="454"/>
      <c r="F9" s="444"/>
      <c r="G9" s="444"/>
      <c r="H9" s="444"/>
      <c r="I9" s="648"/>
      <c r="J9" s="444"/>
      <c r="K9" s="445"/>
      <c r="L9" s="575"/>
      <c r="N9" s="228"/>
    </row>
    <row r="10" spans="1:14" s="109" customFormat="1" ht="13" outlineLevel="1">
      <c r="B10" s="1177" t="s">
        <v>515</v>
      </c>
      <c r="C10" s="1178"/>
      <c r="D10" s="1178" t="s">
        <v>370</v>
      </c>
      <c r="E10" s="401" t="s">
        <v>300</v>
      </c>
      <c r="F10" s="469"/>
      <c r="G10" s="402">
        <f>+VLOOKUP($E10,Supermarket!$E$10:$G$193,3,FALSE)</f>
        <v>300</v>
      </c>
      <c r="H10" s="402" t="s">
        <v>360</v>
      </c>
      <c r="I10" s="633">
        <f>+VLOOKUP(E10,'Line items'!$B$3:$D$126,3,FALSE)</f>
        <v>80</v>
      </c>
      <c r="J10" s="403">
        <f>+I10*G10</f>
        <v>24000</v>
      </c>
      <c r="K10" s="1217">
        <f>+SUM(J10:J13)</f>
        <v>166500</v>
      </c>
      <c r="L10" s="1145">
        <f>+SUM(K10:K15)</f>
        <v>214500</v>
      </c>
      <c r="N10" s="228"/>
    </row>
    <row r="11" spans="1:14" s="109" customFormat="1" ht="13" outlineLevel="1">
      <c r="B11" s="1179"/>
      <c r="C11" s="1180"/>
      <c r="D11" s="1180"/>
      <c r="E11" s="370" t="s">
        <v>648</v>
      </c>
      <c r="F11" s="467"/>
      <c r="G11" s="375">
        <v>300</v>
      </c>
      <c r="H11" s="375" t="s">
        <v>360</v>
      </c>
      <c r="I11" s="585">
        <f>+VLOOKUP(E11,'Line items'!$B$3:$D$126,3,FALSE)</f>
        <v>130</v>
      </c>
      <c r="J11" s="376">
        <f>+I11*G11</f>
        <v>39000</v>
      </c>
      <c r="K11" s="1218"/>
      <c r="L11" s="1146"/>
      <c r="N11" s="228"/>
    </row>
    <row r="12" spans="1:14" s="109" customFormat="1" ht="13" outlineLevel="1">
      <c r="B12" s="1179"/>
      <c r="C12" s="1180"/>
      <c r="D12" s="1180"/>
      <c r="E12" s="370" t="s">
        <v>759</v>
      </c>
      <c r="F12" s="467"/>
      <c r="G12" s="371">
        <v>480</v>
      </c>
      <c r="H12" s="371" t="s">
        <v>758</v>
      </c>
      <c r="I12" s="372">
        <f>+VLOOKUP(E12,'Line items'!$B$3:$D$102,3,FALSE)</f>
        <v>200</v>
      </c>
      <c r="J12" s="372">
        <f>+I12*G12</f>
        <v>96000</v>
      </c>
      <c r="K12" s="1218"/>
      <c r="L12" s="1146"/>
      <c r="N12" s="228"/>
    </row>
    <row r="13" spans="1:14" s="109" customFormat="1" ht="13" outlineLevel="1">
      <c r="B13" s="1179"/>
      <c r="C13" s="1180"/>
      <c r="D13" s="1180"/>
      <c r="E13" s="370" t="s">
        <v>653</v>
      </c>
      <c r="F13" s="467"/>
      <c r="G13" s="375">
        <v>3</v>
      </c>
      <c r="H13" s="375" t="s">
        <v>364</v>
      </c>
      <c r="I13" s="585">
        <f>+VLOOKUP(E13,'Line items'!$B$3:$D$126,3,FALSE)</f>
        <v>2500</v>
      </c>
      <c r="J13" s="376">
        <f>+I13*G13</f>
        <v>7500</v>
      </c>
      <c r="K13" s="1218"/>
      <c r="L13" s="1146"/>
      <c r="N13" s="228"/>
    </row>
    <row r="14" spans="1:14" s="109" customFormat="1" ht="13" outlineLevel="1">
      <c r="B14" s="1179"/>
      <c r="C14" s="1180"/>
      <c r="D14" s="645" t="s">
        <v>369</v>
      </c>
      <c r="E14" s="374" t="s">
        <v>557</v>
      </c>
      <c r="F14" s="467"/>
      <c r="G14" s="375">
        <f>+VLOOKUP($E14,Supermarket!$E$10:$G$193,3,FALSE)</f>
        <v>6</v>
      </c>
      <c r="H14" s="375" t="s">
        <v>364</v>
      </c>
      <c r="I14" s="585">
        <f>+VLOOKUP(E14,'Line items'!$B$3:$D$126,3,FALSE)</f>
        <v>8000</v>
      </c>
      <c r="J14" s="376">
        <f>+I14*G14</f>
        <v>48000</v>
      </c>
      <c r="K14" s="532">
        <f>+J14</f>
        <v>48000</v>
      </c>
      <c r="L14" s="1146"/>
      <c r="N14" s="228"/>
    </row>
    <row r="15" spans="1:14" s="109" customFormat="1" outlineLevel="1" thickBot="1">
      <c r="B15" s="1181"/>
      <c r="C15" s="1182"/>
      <c r="D15" s="650" t="s">
        <v>371</v>
      </c>
      <c r="E15" s="396" t="s">
        <v>301</v>
      </c>
      <c r="F15" s="468"/>
      <c r="G15" s="397"/>
      <c r="H15" s="397"/>
      <c r="I15" s="636"/>
      <c r="J15" s="398"/>
      <c r="K15" s="548"/>
      <c r="L15" s="1152"/>
      <c r="N15" s="228"/>
    </row>
    <row r="16" spans="1:14" s="109" customFormat="1" ht="13" outlineLevel="1">
      <c r="B16" s="1177" t="s">
        <v>516</v>
      </c>
      <c r="C16" s="1178"/>
      <c r="D16" s="649" t="s">
        <v>380</v>
      </c>
      <c r="E16" s="401" t="s">
        <v>302</v>
      </c>
      <c r="F16" s="469"/>
      <c r="G16" s="402"/>
      <c r="H16" s="402"/>
      <c r="I16" s="633"/>
      <c r="J16" s="403"/>
      <c r="K16" s="549"/>
      <c r="L16" s="1207">
        <f>+SUM(K16:K18)</f>
        <v>0</v>
      </c>
      <c r="N16" s="228"/>
    </row>
    <row r="17" spans="2:14" s="109" customFormat="1" ht="13" outlineLevel="1">
      <c r="B17" s="1179"/>
      <c r="C17" s="1180"/>
      <c r="D17" s="645" t="s">
        <v>373</v>
      </c>
      <c r="E17" s="374" t="s">
        <v>88</v>
      </c>
      <c r="F17" s="467"/>
      <c r="G17" s="375"/>
      <c r="H17" s="375"/>
      <c r="I17" s="585"/>
      <c r="J17" s="376"/>
      <c r="K17" s="532"/>
      <c r="L17" s="1208"/>
      <c r="N17" s="228"/>
    </row>
    <row r="18" spans="2:14" s="109" customFormat="1" outlineLevel="1" thickBot="1">
      <c r="B18" s="1181"/>
      <c r="C18" s="1182"/>
      <c r="D18" s="650" t="s">
        <v>372</v>
      </c>
      <c r="E18" s="396" t="s">
        <v>88</v>
      </c>
      <c r="F18" s="468"/>
      <c r="G18" s="397"/>
      <c r="H18" s="397"/>
      <c r="I18" s="636"/>
      <c r="J18" s="398"/>
      <c r="K18" s="548"/>
      <c r="L18" s="1209"/>
      <c r="N18" s="228"/>
    </row>
    <row r="19" spans="2:14" s="109" customFormat="1" ht="13" outlineLevel="1">
      <c r="B19" s="1177" t="s">
        <v>517</v>
      </c>
      <c r="C19" s="1178"/>
      <c r="D19" s="402" t="s">
        <v>374</v>
      </c>
      <c r="E19" s="401" t="s">
        <v>88</v>
      </c>
      <c r="F19" s="469"/>
      <c r="G19" s="402"/>
      <c r="H19" s="402"/>
      <c r="I19" s="633"/>
      <c r="J19" s="403"/>
      <c r="K19" s="549"/>
      <c r="L19" s="1145">
        <f>+SUM(K19:K21)</f>
        <v>0</v>
      </c>
      <c r="N19" s="228"/>
    </row>
    <row r="20" spans="2:14" s="109" customFormat="1" ht="13" outlineLevel="1">
      <c r="B20" s="1179"/>
      <c r="C20" s="1180"/>
      <c r="D20" s="375" t="s">
        <v>375</v>
      </c>
      <c r="E20" s="374" t="s">
        <v>88</v>
      </c>
      <c r="F20" s="467"/>
      <c r="G20" s="375"/>
      <c r="H20" s="375"/>
      <c r="I20" s="585"/>
      <c r="J20" s="376"/>
      <c r="K20" s="532"/>
      <c r="L20" s="1146"/>
      <c r="N20" s="228"/>
    </row>
    <row r="21" spans="2:14" s="109" customFormat="1" outlineLevel="1" thickBot="1">
      <c r="B21" s="1181"/>
      <c r="C21" s="1182"/>
      <c r="D21" s="397" t="s">
        <v>376</v>
      </c>
      <c r="E21" s="396" t="s">
        <v>88</v>
      </c>
      <c r="F21" s="468"/>
      <c r="G21" s="397"/>
      <c r="H21" s="397"/>
      <c r="I21" s="636"/>
      <c r="J21" s="398"/>
      <c r="K21" s="548"/>
      <c r="L21" s="1152"/>
      <c r="N21" s="228"/>
    </row>
    <row r="22" spans="2:14" s="109" customFormat="1" ht="13" outlineLevel="1">
      <c r="B22" s="1162" t="s">
        <v>518</v>
      </c>
      <c r="C22" s="1163"/>
      <c r="D22" s="1163" t="s">
        <v>377</v>
      </c>
      <c r="E22" s="392" t="s">
        <v>305</v>
      </c>
      <c r="F22" s="465"/>
      <c r="G22" s="393">
        <f>+VLOOKUP($E22,Supermarket!$E$10:$G$193,3,FALSE)</f>
        <v>1</v>
      </c>
      <c r="H22" s="393" t="s">
        <v>364</v>
      </c>
      <c r="I22" s="633">
        <f>+VLOOKUP(E22,'Line items'!$B$3:$D$126,3,FALSE)</f>
        <v>2500</v>
      </c>
      <c r="J22" s="394">
        <f>+I22*G22</f>
        <v>2500</v>
      </c>
      <c r="K22" s="1219">
        <f>+SUM(J22:J24)</f>
        <v>12500</v>
      </c>
      <c r="L22" s="1151">
        <f>+SUM(K22:K26)</f>
        <v>108500</v>
      </c>
      <c r="N22" s="228"/>
    </row>
    <row r="23" spans="2:14" s="109" customFormat="1" ht="13" outlineLevel="1">
      <c r="B23" s="1164"/>
      <c r="C23" s="1160"/>
      <c r="D23" s="1160"/>
      <c r="E23" s="370" t="s">
        <v>306</v>
      </c>
      <c r="F23" s="466"/>
      <c r="G23" s="371">
        <f>+VLOOKUP($E23,Supermarket!$E$10:$G$193,3,FALSE)</f>
        <v>1</v>
      </c>
      <c r="H23" s="371" t="s">
        <v>364</v>
      </c>
      <c r="I23" s="585">
        <f>+VLOOKUP(E23,'Line items'!$B$3:$D$126,3,FALSE)</f>
        <v>10000</v>
      </c>
      <c r="J23" s="372">
        <f>+I23*G23</f>
        <v>10000</v>
      </c>
      <c r="K23" s="1220"/>
      <c r="L23" s="1202"/>
      <c r="N23" s="228"/>
    </row>
    <row r="24" spans="2:14" s="109" customFormat="1" ht="13" outlineLevel="1">
      <c r="B24" s="1164"/>
      <c r="C24" s="1160"/>
      <c r="D24" s="1160"/>
      <c r="E24" s="379" t="s">
        <v>307</v>
      </c>
      <c r="F24" s="467"/>
      <c r="G24" s="375">
        <f>+VLOOKUP($E24,Supermarket!$E$10:$G$193,3,FALSE)</f>
        <v>150</v>
      </c>
      <c r="H24" s="375" t="s">
        <v>360</v>
      </c>
      <c r="I24" s="585"/>
      <c r="J24" s="376"/>
      <c r="K24" s="1220"/>
      <c r="L24" s="1202"/>
      <c r="N24" s="228"/>
    </row>
    <row r="25" spans="2:14" s="109" customFormat="1" ht="13" outlineLevel="1">
      <c r="B25" s="1164"/>
      <c r="C25" s="1160"/>
      <c r="D25" s="620" t="s">
        <v>378</v>
      </c>
      <c r="E25" s="370" t="s">
        <v>170</v>
      </c>
      <c r="F25" s="466"/>
      <c r="G25" s="371">
        <f>G12</f>
        <v>480</v>
      </c>
      <c r="H25" s="371" t="s">
        <v>758</v>
      </c>
      <c r="I25" s="585">
        <f>+VLOOKUP(E25,'Line items'!$B$3:$D$126,3,FALSE)</f>
        <v>200</v>
      </c>
      <c r="J25" s="372">
        <f>+I25*G25</f>
        <v>96000</v>
      </c>
      <c r="K25" s="533">
        <f>+J25</f>
        <v>96000</v>
      </c>
      <c r="L25" s="1202"/>
      <c r="N25" s="228"/>
    </row>
    <row r="26" spans="2:14" s="109" customFormat="1" outlineLevel="1" thickBot="1">
      <c r="B26" s="1165"/>
      <c r="C26" s="1166"/>
      <c r="D26" s="631" t="s">
        <v>379</v>
      </c>
      <c r="E26" s="370" t="s">
        <v>170</v>
      </c>
      <c r="F26" s="477"/>
      <c r="G26" s="440">
        <v>0</v>
      </c>
      <c r="H26" s="440" t="s">
        <v>758</v>
      </c>
      <c r="I26" s="636">
        <f>+VLOOKUP(E26,'Line items'!$B$3:$D$126,3,FALSE)</f>
        <v>200</v>
      </c>
      <c r="J26" s="408">
        <f>+I26*G26</f>
        <v>0</v>
      </c>
      <c r="K26" s="550">
        <f>+J26</f>
        <v>0</v>
      </c>
      <c r="L26" s="1203"/>
      <c r="N26" s="228"/>
    </row>
    <row r="27" spans="2:14" s="109" customFormat="1" thickBot="1">
      <c r="B27" s="442">
        <v>1.2</v>
      </c>
      <c r="C27" s="1167" t="s">
        <v>4</v>
      </c>
      <c r="D27" s="1167"/>
      <c r="E27" s="1167"/>
      <c r="F27" s="464"/>
      <c r="G27" s="444"/>
      <c r="H27" s="444"/>
      <c r="I27" s="648"/>
      <c r="J27" s="444"/>
      <c r="K27" s="445"/>
      <c r="L27" s="446"/>
      <c r="N27" s="228"/>
    </row>
    <row r="28" spans="2:14" s="109" customFormat="1" ht="13" outlineLevel="1">
      <c r="B28" s="1177" t="s">
        <v>519</v>
      </c>
      <c r="C28" s="1178"/>
      <c r="D28" s="1178" t="s">
        <v>381</v>
      </c>
      <c r="E28" s="392" t="s">
        <v>656</v>
      </c>
      <c r="F28" s="469"/>
      <c r="G28" s="402">
        <v>300</v>
      </c>
      <c r="H28" s="402" t="s">
        <v>360</v>
      </c>
      <c r="I28" s="633">
        <f>+VLOOKUP(E28,'Line items'!$B$3:$D$126,3,FALSE)</f>
        <v>120</v>
      </c>
      <c r="J28" s="403">
        <f>+I28*G28</f>
        <v>36000</v>
      </c>
      <c r="K28" s="1186">
        <f>+SUM(J28:J30)</f>
        <v>106500</v>
      </c>
      <c r="L28" s="1145">
        <f>+SUM(K28:K32)</f>
        <v>106500</v>
      </c>
      <c r="N28" s="228"/>
    </row>
    <row r="29" spans="2:14" s="109" customFormat="1" ht="13" outlineLevel="1">
      <c r="B29" s="1179"/>
      <c r="C29" s="1180"/>
      <c r="D29" s="1180"/>
      <c r="E29" s="370" t="s">
        <v>659</v>
      </c>
      <c r="F29" s="467"/>
      <c r="G29" s="375">
        <v>300</v>
      </c>
      <c r="H29" s="375" t="s">
        <v>360</v>
      </c>
      <c r="I29" s="585">
        <f>+VLOOKUP(E29,'Line items'!$B$3:$D$126,3,FALSE)</f>
        <v>210</v>
      </c>
      <c r="J29" s="376">
        <f>+I29*G29</f>
        <v>63000</v>
      </c>
      <c r="K29" s="1180"/>
      <c r="L29" s="1204"/>
      <c r="N29" s="228"/>
    </row>
    <row r="30" spans="2:14" s="109" customFormat="1" ht="13" outlineLevel="1">
      <c r="B30" s="1179"/>
      <c r="C30" s="1180"/>
      <c r="D30" s="1180"/>
      <c r="E30" s="370" t="s">
        <v>660</v>
      </c>
      <c r="F30" s="467"/>
      <c r="G30" s="375">
        <v>3</v>
      </c>
      <c r="H30" s="375" t="s">
        <v>364</v>
      </c>
      <c r="I30" s="585">
        <f>+VLOOKUP(E30,'Line items'!$B$3:$D$126,3,FALSE)</f>
        <v>2500</v>
      </c>
      <c r="J30" s="376">
        <f>+I30*G30</f>
        <v>7500</v>
      </c>
      <c r="K30" s="1180"/>
      <c r="L30" s="1204"/>
      <c r="N30" s="228"/>
    </row>
    <row r="31" spans="2:14" s="109" customFormat="1" ht="13" outlineLevel="1">
      <c r="B31" s="1179"/>
      <c r="C31" s="1180"/>
      <c r="D31" s="645" t="s">
        <v>382</v>
      </c>
      <c r="E31" s="374" t="s">
        <v>88</v>
      </c>
      <c r="F31" s="467"/>
      <c r="G31" s="375"/>
      <c r="H31" s="375"/>
      <c r="I31" s="585"/>
      <c r="J31" s="376"/>
      <c r="K31" s="534"/>
      <c r="L31" s="1204"/>
      <c r="N31" s="228"/>
    </row>
    <row r="32" spans="2:14" s="109" customFormat="1" outlineLevel="1" thickBot="1">
      <c r="B32" s="1181"/>
      <c r="C32" s="1182"/>
      <c r="D32" s="650" t="s">
        <v>383</v>
      </c>
      <c r="E32" s="396" t="s">
        <v>301</v>
      </c>
      <c r="F32" s="468"/>
      <c r="G32" s="397"/>
      <c r="H32" s="397"/>
      <c r="I32" s="636"/>
      <c r="J32" s="398"/>
      <c r="K32" s="551"/>
      <c r="L32" s="1205"/>
      <c r="N32" s="228"/>
    </row>
    <row r="33" spans="2:14" s="109" customFormat="1" ht="13" outlineLevel="1">
      <c r="B33" s="1177" t="s">
        <v>520</v>
      </c>
      <c r="C33" s="1178"/>
      <c r="D33" s="1178" t="s">
        <v>384</v>
      </c>
      <c r="E33" s="401" t="s">
        <v>724</v>
      </c>
      <c r="F33" s="469"/>
      <c r="G33" s="402">
        <v>300</v>
      </c>
      <c r="H33" s="402" t="s">
        <v>360</v>
      </c>
      <c r="I33" s="633">
        <f>+VLOOKUP(E33,'Line items'!$B$3:$D$126,3,FALSE)</f>
        <v>190</v>
      </c>
      <c r="J33" s="403">
        <f>+I33*G33</f>
        <v>57000</v>
      </c>
      <c r="K33" s="1186">
        <f>+SUM(J33:J34)</f>
        <v>96000</v>
      </c>
      <c r="L33" s="1145">
        <f>+SUM(K33:K36)</f>
        <v>96000</v>
      </c>
      <c r="N33" s="228"/>
    </row>
    <row r="34" spans="2:14" s="109" customFormat="1" ht="13" outlineLevel="1">
      <c r="B34" s="1179"/>
      <c r="C34" s="1180"/>
      <c r="D34" s="1180"/>
      <c r="E34" s="374" t="s">
        <v>661</v>
      </c>
      <c r="F34" s="467"/>
      <c r="G34" s="375">
        <v>300</v>
      </c>
      <c r="H34" s="375" t="s">
        <v>360</v>
      </c>
      <c r="I34" s="585">
        <f>+VLOOKUP(E34,'Line items'!$B$3:$D$126,3,FALSE)</f>
        <v>130</v>
      </c>
      <c r="J34" s="376">
        <f>+I34*G34</f>
        <v>39000</v>
      </c>
      <c r="K34" s="1180"/>
      <c r="L34" s="1204"/>
      <c r="N34" s="228"/>
    </row>
    <row r="35" spans="2:14" s="109" customFormat="1" ht="13" outlineLevel="1">
      <c r="B35" s="1179"/>
      <c r="C35" s="1180"/>
      <c r="D35" s="645" t="s">
        <v>385</v>
      </c>
      <c r="E35" s="374" t="s">
        <v>88</v>
      </c>
      <c r="F35" s="467"/>
      <c r="G35" s="375"/>
      <c r="H35" s="375"/>
      <c r="I35" s="585"/>
      <c r="J35" s="376"/>
      <c r="K35" s="534"/>
      <c r="L35" s="1204"/>
      <c r="N35" s="228"/>
    </row>
    <row r="36" spans="2:14" s="109" customFormat="1" outlineLevel="1" thickBot="1">
      <c r="B36" s="1181"/>
      <c r="C36" s="1182"/>
      <c r="D36" s="650" t="s">
        <v>386</v>
      </c>
      <c r="E36" s="396" t="s">
        <v>301</v>
      </c>
      <c r="F36" s="468"/>
      <c r="G36" s="397"/>
      <c r="H36" s="397"/>
      <c r="I36" s="636"/>
      <c r="J36" s="398"/>
      <c r="K36" s="551"/>
      <c r="L36" s="1205"/>
      <c r="N36" s="228"/>
    </row>
    <row r="37" spans="2:14" s="109" customFormat="1" ht="13" outlineLevel="1">
      <c r="B37" s="1162" t="s">
        <v>521</v>
      </c>
      <c r="C37" s="1163"/>
      <c r="D37" s="632" t="s">
        <v>387</v>
      </c>
      <c r="E37" s="422" t="s">
        <v>308</v>
      </c>
      <c r="F37" s="469"/>
      <c r="G37" s="402">
        <f>+VLOOKUP($E37,Supermarket!$E$10:$G$193,3,FALSE)</f>
        <v>150</v>
      </c>
      <c r="H37" s="402" t="s">
        <v>360</v>
      </c>
      <c r="I37" s="633">
        <v>0</v>
      </c>
      <c r="J37" s="403">
        <f t="shared" ref="J37:J45" si="0">+I37*G37</f>
        <v>0</v>
      </c>
      <c r="K37" s="635">
        <f t="shared" ref="K37" si="1">+J37</f>
        <v>0</v>
      </c>
      <c r="L37" s="1151">
        <f>+SUM(K37:K41)</f>
        <v>67500</v>
      </c>
      <c r="N37" s="228"/>
    </row>
    <row r="38" spans="2:14" s="109" customFormat="1" ht="13" outlineLevel="1">
      <c r="B38" s="1164"/>
      <c r="C38" s="1160"/>
      <c r="D38" s="1160" t="s">
        <v>388</v>
      </c>
      <c r="E38" s="370" t="s">
        <v>662</v>
      </c>
      <c r="F38" s="467"/>
      <c r="G38" s="375">
        <v>1</v>
      </c>
      <c r="H38" s="375" t="s">
        <v>364</v>
      </c>
      <c r="I38" s="585">
        <f>+VLOOKUP(E38,'Line items'!$B$3:$D$126,3,FALSE)</f>
        <v>30000</v>
      </c>
      <c r="J38" s="376">
        <f t="shared" si="0"/>
        <v>30000</v>
      </c>
      <c r="K38" s="1193">
        <f>+SUM(J38:J40)</f>
        <v>67500</v>
      </c>
      <c r="L38" s="1149"/>
      <c r="N38" s="228"/>
    </row>
    <row r="39" spans="2:14" s="109" customFormat="1" ht="13" outlineLevel="1">
      <c r="B39" s="1164"/>
      <c r="C39" s="1160"/>
      <c r="D39" s="1160"/>
      <c r="E39" s="370" t="s">
        <v>663</v>
      </c>
      <c r="F39" s="466"/>
      <c r="G39" s="371">
        <v>150</v>
      </c>
      <c r="H39" s="371" t="s">
        <v>360</v>
      </c>
      <c r="I39" s="585">
        <f>+VLOOKUP(E39,'Line items'!$B$3:$D$126,3,FALSE)</f>
        <v>210</v>
      </c>
      <c r="J39" s="372">
        <f t="shared" si="0"/>
        <v>31500</v>
      </c>
      <c r="K39" s="1160"/>
      <c r="L39" s="1149"/>
      <c r="N39" s="228"/>
    </row>
    <row r="40" spans="2:14" s="109" customFormat="1" ht="13" outlineLevel="1">
      <c r="B40" s="1164"/>
      <c r="C40" s="1160"/>
      <c r="D40" s="1160"/>
      <c r="E40" s="370" t="s">
        <v>309</v>
      </c>
      <c r="F40" s="466"/>
      <c r="G40" s="371">
        <f>+VLOOKUP($E40,Supermarket!$E$10:$G$193,3,FALSE)</f>
        <v>150</v>
      </c>
      <c r="H40" s="371" t="s">
        <v>360</v>
      </c>
      <c r="I40" s="585">
        <f>+VLOOKUP(E40,'Line items'!$B$3:$D$126,3,FALSE)</f>
        <v>40</v>
      </c>
      <c r="J40" s="372">
        <f t="shared" si="0"/>
        <v>6000</v>
      </c>
      <c r="K40" s="1160"/>
      <c r="L40" s="1149"/>
      <c r="N40" s="228"/>
    </row>
    <row r="41" spans="2:14" s="109" customFormat="1" outlineLevel="1" thickBot="1">
      <c r="B41" s="1165"/>
      <c r="C41" s="1166"/>
      <c r="D41" s="631" t="s">
        <v>389</v>
      </c>
      <c r="E41" s="439" t="s">
        <v>301</v>
      </c>
      <c r="F41" s="477"/>
      <c r="G41" s="440"/>
      <c r="H41" s="440"/>
      <c r="I41" s="636"/>
      <c r="J41" s="408">
        <f t="shared" si="0"/>
        <v>0</v>
      </c>
      <c r="K41" s="637">
        <f>+J41</f>
        <v>0</v>
      </c>
      <c r="L41" s="1150"/>
      <c r="N41" s="228"/>
    </row>
    <row r="42" spans="2:14" s="109" customFormat="1" ht="13" outlineLevel="1">
      <c r="B42" s="1162" t="s">
        <v>522</v>
      </c>
      <c r="C42" s="1163"/>
      <c r="D42" s="632" t="s">
        <v>390</v>
      </c>
      <c r="E42" s="422" t="s">
        <v>308</v>
      </c>
      <c r="F42" s="469"/>
      <c r="G42" s="402">
        <f>+VLOOKUP($E42,Supermarket!$E$10:$G$193,3,FALSE)</f>
        <v>150</v>
      </c>
      <c r="H42" s="402" t="s">
        <v>360</v>
      </c>
      <c r="I42" s="633">
        <v>0</v>
      </c>
      <c r="J42" s="403">
        <f t="shared" si="0"/>
        <v>0</v>
      </c>
      <c r="K42" s="635">
        <f>+J42</f>
        <v>0</v>
      </c>
      <c r="L42" s="1151">
        <f>+SUM(K42:K46)</f>
        <v>67500</v>
      </c>
      <c r="N42" s="228"/>
    </row>
    <row r="43" spans="2:14" s="109" customFormat="1" ht="13" outlineLevel="1">
      <c r="B43" s="1164"/>
      <c r="C43" s="1160"/>
      <c r="D43" s="1160" t="s">
        <v>391</v>
      </c>
      <c r="E43" s="370" t="s">
        <v>662</v>
      </c>
      <c r="F43" s="466"/>
      <c r="G43" s="371">
        <v>1</v>
      </c>
      <c r="H43" s="371" t="s">
        <v>364</v>
      </c>
      <c r="I43" s="585">
        <f>+VLOOKUP(E43,'Line items'!$B$3:$D$126,3,FALSE)</f>
        <v>30000</v>
      </c>
      <c r="J43" s="372">
        <f t="shared" si="0"/>
        <v>30000</v>
      </c>
      <c r="K43" s="1193">
        <f>+SUM(J43:J45)</f>
        <v>67500</v>
      </c>
      <c r="L43" s="1149"/>
      <c r="N43" s="228"/>
    </row>
    <row r="44" spans="2:14" s="109" customFormat="1" ht="13" outlineLevel="1">
      <c r="B44" s="1164"/>
      <c r="C44" s="1160"/>
      <c r="D44" s="1160"/>
      <c r="E44" s="370" t="s">
        <v>663</v>
      </c>
      <c r="F44" s="472"/>
      <c r="G44" s="371">
        <v>150</v>
      </c>
      <c r="H44" s="371" t="s">
        <v>360</v>
      </c>
      <c r="I44" s="585">
        <f>+VLOOKUP(E44,'Line items'!$B$3:$D$126,3,FALSE)</f>
        <v>210</v>
      </c>
      <c r="J44" s="372">
        <f t="shared" si="0"/>
        <v>31500</v>
      </c>
      <c r="K44" s="1160"/>
      <c r="L44" s="1149"/>
      <c r="N44" s="228"/>
    </row>
    <row r="45" spans="2:14" s="109" customFormat="1" ht="13" outlineLevel="1">
      <c r="B45" s="1164"/>
      <c r="C45" s="1160"/>
      <c r="D45" s="1160"/>
      <c r="E45" s="370" t="s">
        <v>309</v>
      </c>
      <c r="F45" s="466"/>
      <c r="G45" s="371">
        <f>+VLOOKUP($E45,Supermarket!$E$10:$G$193,3,FALSE)</f>
        <v>150</v>
      </c>
      <c r="H45" s="371" t="s">
        <v>360</v>
      </c>
      <c r="I45" s="585">
        <f>+VLOOKUP(E45,'Line items'!$B$3:$D$126,3,FALSE)</f>
        <v>40</v>
      </c>
      <c r="J45" s="372">
        <f t="shared" si="0"/>
        <v>6000</v>
      </c>
      <c r="K45" s="1160"/>
      <c r="L45" s="1149"/>
      <c r="N45" s="228"/>
    </row>
    <row r="46" spans="2:14" s="109" customFormat="1" outlineLevel="1" thickBot="1">
      <c r="B46" s="1165"/>
      <c r="C46" s="1166"/>
      <c r="D46" s="631" t="s">
        <v>392</v>
      </c>
      <c r="E46" s="396" t="s">
        <v>301</v>
      </c>
      <c r="F46" s="468"/>
      <c r="G46" s="397"/>
      <c r="H46" s="397"/>
      <c r="I46" s="636"/>
      <c r="J46" s="398"/>
      <c r="K46" s="551"/>
      <c r="L46" s="1150"/>
      <c r="N46" s="228"/>
    </row>
    <row r="47" spans="2:14" s="109" customFormat="1" outlineLevel="1" thickBot="1">
      <c r="B47" s="1212" t="s">
        <v>523</v>
      </c>
      <c r="C47" s="1213"/>
      <c r="D47" s="659" t="s">
        <v>393</v>
      </c>
      <c r="E47" s="432" t="s">
        <v>88</v>
      </c>
      <c r="F47" s="473"/>
      <c r="G47" s="434"/>
      <c r="H47" s="433"/>
      <c r="I47" s="660"/>
      <c r="J47" s="435"/>
      <c r="K47" s="554"/>
      <c r="L47" s="661">
        <f>+K47</f>
        <v>0</v>
      </c>
      <c r="N47" s="228"/>
    </row>
    <row r="48" spans="2:14" s="109" customFormat="1" thickBot="1">
      <c r="B48" s="442">
        <v>1.3</v>
      </c>
      <c r="C48" s="1167" t="s">
        <v>32</v>
      </c>
      <c r="D48" s="1167"/>
      <c r="E48" s="1167"/>
      <c r="F48" s="464"/>
      <c r="G48" s="444"/>
      <c r="H48" s="444"/>
      <c r="I48" s="648"/>
      <c r="J48" s="444"/>
      <c r="K48" s="445"/>
      <c r="L48" s="446"/>
      <c r="N48" s="228"/>
    </row>
    <row r="49" spans="2:14" s="109" customFormat="1" ht="13" outlineLevel="1">
      <c r="B49" s="1177" t="s">
        <v>524</v>
      </c>
      <c r="C49" s="1178"/>
      <c r="D49" s="649" t="s">
        <v>396</v>
      </c>
      <c r="E49" s="658" t="s">
        <v>673</v>
      </c>
      <c r="F49" s="469"/>
      <c r="G49" s="402">
        <v>6</v>
      </c>
      <c r="H49" s="402" t="s">
        <v>364</v>
      </c>
      <c r="I49" s="633">
        <f>+VLOOKUP(E49,'Line items'!$B$3:$D$126,3,FALSE)</f>
        <v>1500</v>
      </c>
      <c r="J49" s="403">
        <f>+I49*G49</f>
        <v>9000</v>
      </c>
      <c r="K49" s="557">
        <f>+J49</f>
        <v>9000</v>
      </c>
      <c r="L49" s="1145">
        <f>+SUM(K49:K51)</f>
        <v>69000</v>
      </c>
      <c r="N49" s="228"/>
    </row>
    <row r="50" spans="2:14" s="109" customFormat="1" ht="13" outlineLevel="1">
      <c r="B50" s="1179"/>
      <c r="C50" s="1180"/>
      <c r="D50" s="645" t="s">
        <v>397</v>
      </c>
      <c r="E50" s="374" t="s">
        <v>665</v>
      </c>
      <c r="F50" s="467"/>
      <c r="G50" s="375">
        <v>300</v>
      </c>
      <c r="H50" s="375" t="s">
        <v>360</v>
      </c>
      <c r="I50" s="585">
        <f>+VLOOKUP(E50,'Line items'!$B$3:$D$126,3,FALSE)</f>
        <v>200</v>
      </c>
      <c r="J50" s="376">
        <f>+I50*G50</f>
        <v>60000</v>
      </c>
      <c r="K50" s="534">
        <f>+J50</f>
        <v>60000</v>
      </c>
      <c r="L50" s="1146"/>
      <c r="N50" s="228"/>
    </row>
    <row r="51" spans="2:14" s="109" customFormat="1" outlineLevel="1" thickBot="1">
      <c r="B51" s="1181"/>
      <c r="C51" s="1182"/>
      <c r="D51" s="650" t="s">
        <v>398</v>
      </c>
      <c r="E51" s="396" t="s">
        <v>310</v>
      </c>
      <c r="F51" s="468" t="s">
        <v>755</v>
      </c>
      <c r="G51" s="397">
        <f>+VLOOKUP($E51,Supermarket!$E$10:$G$193,3,FALSE)</f>
        <v>0</v>
      </c>
      <c r="H51" s="397">
        <v>0</v>
      </c>
      <c r="I51" s="636">
        <v>0</v>
      </c>
      <c r="J51" s="398">
        <f>+I51*G51</f>
        <v>0</v>
      </c>
      <c r="K51" s="551">
        <f>+J51</f>
        <v>0</v>
      </c>
      <c r="L51" s="1152"/>
      <c r="N51" s="228"/>
    </row>
    <row r="52" spans="2:14" s="109" customFormat="1" thickBot="1">
      <c r="B52" s="442">
        <v>1.4</v>
      </c>
      <c r="C52" s="1167" t="s">
        <v>14</v>
      </c>
      <c r="D52" s="1167"/>
      <c r="E52" s="1167"/>
      <c r="F52" s="464"/>
      <c r="G52" s="444"/>
      <c r="H52" s="444"/>
      <c r="I52" s="648"/>
      <c r="J52" s="444"/>
      <c r="K52" s="445"/>
      <c r="L52" s="446"/>
      <c r="N52" s="228"/>
    </row>
    <row r="53" spans="2:14" s="109" customFormat="1" ht="13" outlineLevel="1">
      <c r="B53" s="1177" t="s">
        <v>525</v>
      </c>
      <c r="C53" s="1178"/>
      <c r="D53" s="649" t="s">
        <v>399</v>
      </c>
      <c r="E53" s="401" t="s">
        <v>301</v>
      </c>
      <c r="F53" s="469"/>
      <c r="G53" s="402"/>
      <c r="H53" s="402"/>
      <c r="I53" s="633"/>
      <c r="J53" s="403"/>
      <c r="K53" s="557"/>
      <c r="L53" s="1145">
        <f>+SUM(K53:K55)</f>
        <v>0</v>
      </c>
      <c r="N53" s="228"/>
    </row>
    <row r="54" spans="2:14" s="109" customFormat="1" ht="13" outlineLevel="1">
      <c r="B54" s="1179"/>
      <c r="C54" s="1180"/>
      <c r="D54" s="645" t="s">
        <v>426</v>
      </c>
      <c r="E54" s="374" t="s">
        <v>301</v>
      </c>
      <c r="F54" s="467"/>
      <c r="G54" s="375"/>
      <c r="H54" s="375"/>
      <c r="I54" s="585"/>
      <c r="J54" s="376"/>
      <c r="K54" s="534"/>
      <c r="L54" s="1204"/>
      <c r="N54" s="228"/>
    </row>
    <row r="55" spans="2:14" s="109" customFormat="1" outlineLevel="1" thickBot="1">
      <c r="B55" s="1181"/>
      <c r="C55" s="1182"/>
      <c r="D55" s="650" t="s">
        <v>401</v>
      </c>
      <c r="E55" s="396" t="s">
        <v>301</v>
      </c>
      <c r="F55" s="468"/>
      <c r="G55" s="397"/>
      <c r="H55" s="397"/>
      <c r="I55" s="636"/>
      <c r="J55" s="398"/>
      <c r="K55" s="551"/>
      <c r="L55" s="1205"/>
      <c r="N55" s="228"/>
    </row>
    <row r="56" spans="2:14" s="109" customFormat="1" thickBot="1">
      <c r="B56" s="442">
        <v>1.5</v>
      </c>
      <c r="C56" s="1167" t="s">
        <v>16</v>
      </c>
      <c r="D56" s="1167"/>
      <c r="E56" s="1167"/>
      <c r="F56" s="464"/>
      <c r="G56" s="444"/>
      <c r="H56" s="444"/>
      <c r="I56" s="648"/>
      <c r="J56" s="444"/>
      <c r="K56" s="445"/>
      <c r="L56" s="446"/>
      <c r="N56" s="228"/>
    </row>
    <row r="57" spans="2:14" s="109" customFormat="1" ht="13" outlineLevel="1">
      <c r="B57" s="1177" t="s">
        <v>526</v>
      </c>
      <c r="C57" s="1178"/>
      <c r="D57" s="1178" t="s">
        <v>402</v>
      </c>
      <c r="E57" s="401" t="s">
        <v>490</v>
      </c>
      <c r="F57" s="469"/>
      <c r="G57" s="402">
        <v>1</v>
      </c>
      <c r="H57" s="402" t="s">
        <v>364</v>
      </c>
      <c r="I57" s="633">
        <f>+VLOOKUP(E57,'Line items'!$B$3:$D$126,3,FALSE)</f>
        <v>5000</v>
      </c>
      <c r="J57" s="403">
        <f>+I57*G57</f>
        <v>5000</v>
      </c>
      <c r="K57" s="1186">
        <f>+SUM(J57:J59)</f>
        <v>6000</v>
      </c>
      <c r="L57" s="1145">
        <f>+SUM(K57:K62)</f>
        <v>17000</v>
      </c>
      <c r="N57" s="228"/>
    </row>
    <row r="58" spans="2:14" s="109" customFormat="1" ht="13" outlineLevel="1">
      <c r="B58" s="1179"/>
      <c r="C58" s="1180"/>
      <c r="D58" s="1180"/>
      <c r="E58" s="374" t="s">
        <v>664</v>
      </c>
      <c r="F58" s="467"/>
      <c r="G58" s="375">
        <v>1</v>
      </c>
      <c r="H58" s="375" t="s">
        <v>364</v>
      </c>
      <c r="I58" s="585">
        <f>+VLOOKUP(E58,'Line items'!$B$3:$D$126,3,FALSE)</f>
        <v>1000</v>
      </c>
      <c r="J58" s="376">
        <f>+I58*G58</f>
        <v>1000</v>
      </c>
      <c r="K58" s="1180"/>
      <c r="L58" s="1146"/>
      <c r="N58" s="228"/>
    </row>
    <row r="59" spans="2:14" s="109" customFormat="1" ht="13" outlineLevel="1">
      <c r="B59" s="1179"/>
      <c r="C59" s="1180"/>
      <c r="D59" s="1180"/>
      <c r="E59" s="374" t="s">
        <v>312</v>
      </c>
      <c r="F59" s="467"/>
      <c r="G59" s="375"/>
      <c r="H59" s="375"/>
      <c r="I59" s="585"/>
      <c r="J59" s="376">
        <f>+I59*G59</f>
        <v>0</v>
      </c>
      <c r="K59" s="1180"/>
      <c r="L59" s="1146"/>
      <c r="N59" s="228"/>
    </row>
    <row r="60" spans="2:14" s="109" customFormat="1" ht="13" outlineLevel="1">
      <c r="B60" s="1179"/>
      <c r="C60" s="1180"/>
      <c r="D60" s="1180" t="s">
        <v>403</v>
      </c>
      <c r="E60" s="374" t="s">
        <v>313</v>
      </c>
      <c r="F60" s="467"/>
      <c r="G60" s="375">
        <v>30</v>
      </c>
      <c r="H60" s="375" t="s">
        <v>360</v>
      </c>
      <c r="I60" s="585">
        <f>+VLOOKUP(E60,'Line items'!$B$3:$D$126,3,FALSE)</f>
        <v>200</v>
      </c>
      <c r="J60" s="376">
        <f>+I60*G60</f>
        <v>6000</v>
      </c>
      <c r="K60" s="1192">
        <f>+SUM(J60:J61)</f>
        <v>11000</v>
      </c>
      <c r="L60" s="1146"/>
      <c r="N60" s="228"/>
    </row>
    <row r="61" spans="2:14" s="109" customFormat="1" ht="13" outlineLevel="1">
      <c r="B61" s="1179"/>
      <c r="C61" s="1180"/>
      <c r="D61" s="1180"/>
      <c r="E61" s="374" t="s">
        <v>490</v>
      </c>
      <c r="F61" s="467"/>
      <c r="G61" s="375">
        <v>1</v>
      </c>
      <c r="H61" s="375" t="s">
        <v>364</v>
      </c>
      <c r="I61" s="585">
        <f>+VLOOKUP(E61,'Line items'!$B$3:$D$126,3,FALSE)</f>
        <v>5000</v>
      </c>
      <c r="J61" s="376">
        <f>+I61*G61</f>
        <v>5000</v>
      </c>
      <c r="K61" s="1180"/>
      <c r="L61" s="1146"/>
      <c r="N61" s="228"/>
    </row>
    <row r="62" spans="2:14" s="109" customFormat="1" outlineLevel="1" thickBot="1">
      <c r="B62" s="1181"/>
      <c r="C62" s="1182"/>
      <c r="D62" s="650" t="s">
        <v>404</v>
      </c>
      <c r="E62" s="396"/>
      <c r="F62" s="468"/>
      <c r="G62" s="397"/>
      <c r="H62" s="397"/>
      <c r="I62" s="636"/>
      <c r="J62" s="398"/>
      <c r="K62" s="551"/>
      <c r="L62" s="1152"/>
      <c r="N62" s="228"/>
    </row>
    <row r="63" spans="2:14" s="109" customFormat="1" thickBot="1">
      <c r="B63" s="652">
        <v>1.6</v>
      </c>
      <c r="C63" s="1214" t="s">
        <v>18</v>
      </c>
      <c r="D63" s="1214"/>
      <c r="E63" s="1214"/>
      <c r="F63" s="653"/>
      <c r="G63" s="654"/>
      <c r="H63" s="654"/>
      <c r="I63" s="655"/>
      <c r="J63" s="654"/>
      <c r="K63" s="656"/>
      <c r="L63" s="657"/>
      <c r="N63" s="228"/>
    </row>
    <row r="64" spans="2:14" s="109" customFormat="1" ht="13" outlineLevel="1">
      <c r="B64" s="1177" t="s">
        <v>527</v>
      </c>
      <c r="C64" s="1178"/>
      <c r="D64" s="649" t="s">
        <v>405</v>
      </c>
      <c r="E64" s="401" t="s">
        <v>88</v>
      </c>
      <c r="F64" s="469"/>
      <c r="G64" s="402"/>
      <c r="H64" s="402"/>
      <c r="I64" s="633"/>
      <c r="J64" s="403"/>
      <c r="K64" s="557"/>
      <c r="L64" s="1145">
        <f>+SUM(K64:K66)</f>
        <v>0</v>
      </c>
      <c r="N64" s="228"/>
    </row>
    <row r="65" spans="2:14" s="109" customFormat="1" ht="13" outlineLevel="1">
      <c r="B65" s="1179"/>
      <c r="C65" s="1180"/>
      <c r="D65" s="645" t="s">
        <v>406</v>
      </c>
      <c r="E65" s="374" t="s">
        <v>88</v>
      </c>
      <c r="F65" s="467"/>
      <c r="G65" s="375"/>
      <c r="H65" s="375"/>
      <c r="I65" s="585"/>
      <c r="J65" s="376"/>
      <c r="K65" s="534"/>
      <c r="L65" s="1204"/>
      <c r="N65" s="228"/>
    </row>
    <row r="66" spans="2:14" s="109" customFormat="1" outlineLevel="1" thickBot="1">
      <c r="B66" s="1181"/>
      <c r="C66" s="1182"/>
      <c r="D66" s="650" t="s">
        <v>407</v>
      </c>
      <c r="E66" s="396" t="s">
        <v>88</v>
      </c>
      <c r="F66" s="468"/>
      <c r="G66" s="397"/>
      <c r="H66" s="397"/>
      <c r="I66" s="636"/>
      <c r="J66" s="398"/>
      <c r="K66" s="551"/>
      <c r="L66" s="1205"/>
      <c r="N66" s="228"/>
    </row>
    <row r="67" spans="2:14" s="109" customFormat="1" thickBot="1">
      <c r="B67" s="599">
        <v>1.7</v>
      </c>
      <c r="C67" s="1221" t="s">
        <v>33</v>
      </c>
      <c r="D67" s="1168"/>
      <c r="E67" s="1168"/>
      <c r="F67" s="1168"/>
      <c r="G67" s="1168"/>
      <c r="H67" s="1168"/>
      <c r="I67" s="1168"/>
      <c r="J67" s="1168"/>
      <c r="K67" s="1168"/>
      <c r="L67" s="1222"/>
      <c r="N67" s="228"/>
    </row>
    <row r="68" spans="2:14" s="109" customFormat="1" ht="13" outlineLevel="1">
      <c r="B68" s="1177" t="s">
        <v>528</v>
      </c>
      <c r="C68" s="1178"/>
      <c r="D68" s="649" t="s">
        <v>408</v>
      </c>
      <c r="E68" s="401" t="s">
        <v>88</v>
      </c>
      <c r="F68" s="469"/>
      <c r="G68" s="402"/>
      <c r="H68" s="402"/>
      <c r="I68" s="633"/>
      <c r="J68" s="403"/>
      <c r="K68" s="549"/>
      <c r="L68" s="1145">
        <f>+K70</f>
        <v>90190</v>
      </c>
      <c r="N68" s="228"/>
    </row>
    <row r="69" spans="2:14" s="109" customFormat="1" ht="13" outlineLevel="1">
      <c r="B69" s="1179"/>
      <c r="C69" s="1180"/>
      <c r="D69" s="645" t="s">
        <v>409</v>
      </c>
      <c r="E69" s="374" t="s">
        <v>88</v>
      </c>
      <c r="F69" s="467"/>
      <c r="G69" s="375"/>
      <c r="H69" s="375"/>
      <c r="I69" s="585"/>
      <c r="J69" s="376"/>
      <c r="K69" s="532"/>
      <c r="L69" s="1204"/>
      <c r="N69" s="228"/>
    </row>
    <row r="70" spans="2:14" s="109" customFormat="1" ht="13" outlineLevel="1">
      <c r="B70" s="1179"/>
      <c r="C70" s="1180"/>
      <c r="D70" s="1180" t="s">
        <v>410</v>
      </c>
      <c r="E70" s="374" t="s">
        <v>340</v>
      </c>
      <c r="F70" s="478">
        <f>2*$E$3</f>
        <v>24000</v>
      </c>
      <c r="G70" s="375"/>
      <c r="H70" s="375"/>
      <c r="I70" s="585"/>
      <c r="J70" s="376">
        <f>+I70*G70</f>
        <v>0</v>
      </c>
      <c r="K70" s="1218">
        <f>+J71*G71</f>
        <v>90190</v>
      </c>
      <c r="L70" s="1204"/>
      <c r="N70" s="228"/>
    </row>
    <row r="71" spans="2:14" s="109" customFormat="1" ht="13" outlineLevel="1">
      <c r="B71" s="1179"/>
      <c r="C71" s="1180"/>
      <c r="D71" s="1180"/>
      <c r="E71" s="456" t="s">
        <v>674</v>
      </c>
      <c r="F71" s="467" t="s">
        <v>497</v>
      </c>
      <c r="G71" s="375">
        <v>1</v>
      </c>
      <c r="H71" s="375" t="s">
        <v>364</v>
      </c>
      <c r="I71" s="585">
        <f>+VLOOKUP(E71,'Line items'!$B$3:$D$126,3,FALSE)</f>
        <v>90190</v>
      </c>
      <c r="J71" s="376">
        <f>+I71*G71</f>
        <v>90190</v>
      </c>
      <c r="K71" s="1218"/>
      <c r="L71" s="1204"/>
      <c r="N71" s="228"/>
    </row>
    <row r="72" spans="2:14" s="109" customFormat="1" ht="13" outlineLevel="1">
      <c r="B72" s="1179"/>
      <c r="C72" s="1180"/>
      <c r="D72" s="1180"/>
      <c r="E72" s="456" t="s">
        <v>675</v>
      </c>
      <c r="F72" s="467"/>
      <c r="G72" s="375">
        <v>0</v>
      </c>
      <c r="H72" s="375" t="s">
        <v>364</v>
      </c>
      <c r="I72" s="585">
        <f>+VLOOKUP(E72,'Line items'!$B$3:$D$126,3,FALSE)</f>
        <v>73750</v>
      </c>
      <c r="J72" s="376">
        <f>+I72*G72</f>
        <v>0</v>
      </c>
      <c r="K72" s="1218"/>
      <c r="L72" s="1204"/>
      <c r="N72" s="228"/>
    </row>
    <row r="73" spans="2:14" s="109" customFormat="1" ht="13" outlineLevel="1">
      <c r="B73" s="1179"/>
      <c r="C73" s="1180"/>
      <c r="D73" s="1180"/>
      <c r="E73" s="374" t="s">
        <v>676</v>
      </c>
      <c r="F73" s="467"/>
      <c r="G73" s="375">
        <v>0</v>
      </c>
      <c r="H73" s="375" t="s">
        <v>364</v>
      </c>
      <c r="I73" s="585">
        <f>+VLOOKUP(E73,'Line items'!$B$3:$D$126,3,FALSE)</f>
        <v>221250</v>
      </c>
      <c r="J73" s="376">
        <f>+I73*G73</f>
        <v>0</v>
      </c>
      <c r="K73" s="1218"/>
      <c r="L73" s="1204"/>
      <c r="N73" s="228"/>
    </row>
    <row r="74" spans="2:14" s="109" customFormat="1" outlineLevel="1" thickBot="1">
      <c r="B74" s="1181"/>
      <c r="C74" s="1182"/>
      <c r="D74" s="1182"/>
      <c r="E74" s="396" t="s">
        <v>677</v>
      </c>
      <c r="F74" s="468"/>
      <c r="G74" s="397">
        <v>0</v>
      </c>
      <c r="H74" s="397" t="s">
        <v>364</v>
      </c>
      <c r="I74" s="636">
        <f>+VLOOKUP(E74,'Line items'!$B$3:$D$126,3,FALSE)</f>
        <v>221250</v>
      </c>
      <c r="J74" s="398">
        <f>+I74*G74</f>
        <v>0</v>
      </c>
      <c r="K74" s="1223"/>
      <c r="L74" s="1205"/>
      <c r="N74" s="228"/>
    </row>
    <row r="75" spans="2:14" s="109" customFormat="1" ht="13" outlineLevel="1">
      <c r="B75" s="1177" t="s">
        <v>529</v>
      </c>
      <c r="C75" s="1178"/>
      <c r="D75" s="649" t="s">
        <v>411</v>
      </c>
      <c r="E75" s="401" t="s">
        <v>88</v>
      </c>
      <c r="F75" s="469"/>
      <c r="G75" s="402"/>
      <c r="H75" s="402"/>
      <c r="I75" s="633"/>
      <c r="J75" s="403"/>
      <c r="K75" s="549"/>
      <c r="L75" s="1145">
        <f>+K77</f>
        <v>90190</v>
      </c>
      <c r="N75" s="228"/>
    </row>
    <row r="76" spans="2:14" s="109" customFormat="1" ht="13" outlineLevel="1">
      <c r="B76" s="1179"/>
      <c r="C76" s="1180"/>
      <c r="D76" s="645" t="s">
        <v>412</v>
      </c>
      <c r="E76" s="374" t="s">
        <v>88</v>
      </c>
      <c r="F76" s="467"/>
      <c r="G76" s="375"/>
      <c r="H76" s="375"/>
      <c r="I76" s="585"/>
      <c r="J76" s="376"/>
      <c r="K76" s="532"/>
      <c r="L76" s="1204"/>
      <c r="N76" s="228"/>
    </row>
    <row r="77" spans="2:14" s="109" customFormat="1" ht="13" outlineLevel="1">
      <c r="B77" s="1179"/>
      <c r="C77" s="1180"/>
      <c r="D77" s="1180" t="s">
        <v>413</v>
      </c>
      <c r="E77" s="374" t="s">
        <v>340</v>
      </c>
      <c r="F77" s="478">
        <f>2*$E$3</f>
        <v>24000</v>
      </c>
      <c r="G77" s="375"/>
      <c r="H77" s="375"/>
      <c r="I77" s="585"/>
      <c r="J77" s="376">
        <f>+I77*G77</f>
        <v>0</v>
      </c>
      <c r="K77" s="1218">
        <f>+J78*G78</f>
        <v>90190</v>
      </c>
      <c r="L77" s="1204"/>
      <c r="N77" s="228"/>
    </row>
    <row r="78" spans="2:14" s="109" customFormat="1" ht="13" outlineLevel="1">
      <c r="B78" s="1179"/>
      <c r="C78" s="1180"/>
      <c r="D78" s="1180"/>
      <c r="E78" s="456" t="s">
        <v>674</v>
      </c>
      <c r="F78" s="467" t="s">
        <v>497</v>
      </c>
      <c r="G78" s="375">
        <v>1</v>
      </c>
      <c r="H78" s="375" t="s">
        <v>364</v>
      </c>
      <c r="I78" s="585">
        <f>+VLOOKUP(E78,'Line items'!$B$3:$D$126,3,FALSE)</f>
        <v>90190</v>
      </c>
      <c r="J78" s="376">
        <f>+I78*G78</f>
        <v>90190</v>
      </c>
      <c r="K78" s="1218"/>
      <c r="L78" s="1204"/>
      <c r="N78" s="228"/>
    </row>
    <row r="79" spans="2:14" s="109" customFormat="1" ht="13" outlineLevel="1">
      <c r="B79" s="1179"/>
      <c r="C79" s="1180"/>
      <c r="D79" s="1180"/>
      <c r="E79" s="456" t="s">
        <v>675</v>
      </c>
      <c r="F79" s="467"/>
      <c r="G79" s="375">
        <v>0</v>
      </c>
      <c r="H79" s="375" t="s">
        <v>364</v>
      </c>
      <c r="I79" s="585">
        <f>+VLOOKUP(E79,'Line items'!$B$3:$D$126,3,FALSE)</f>
        <v>73750</v>
      </c>
      <c r="J79" s="376">
        <f>+I79*G79</f>
        <v>0</v>
      </c>
      <c r="K79" s="1218"/>
      <c r="L79" s="1204"/>
      <c r="N79" s="228"/>
    </row>
    <row r="80" spans="2:14" s="109" customFormat="1" ht="13" outlineLevel="1">
      <c r="B80" s="1179"/>
      <c r="C80" s="1180"/>
      <c r="D80" s="1180"/>
      <c r="E80" s="374" t="s">
        <v>676</v>
      </c>
      <c r="F80" s="467"/>
      <c r="G80" s="375">
        <v>0</v>
      </c>
      <c r="H80" s="375" t="s">
        <v>364</v>
      </c>
      <c r="I80" s="585">
        <f>+VLOOKUP(E80,'Line items'!$B$3:$D$126,3,FALSE)</f>
        <v>221250</v>
      </c>
      <c r="J80" s="376">
        <f>+I80*G80</f>
        <v>0</v>
      </c>
      <c r="K80" s="1218"/>
      <c r="L80" s="1204"/>
      <c r="N80" s="228"/>
    </row>
    <row r="81" spans="2:14" s="109" customFormat="1" outlineLevel="1" thickBot="1">
      <c r="B81" s="1181"/>
      <c r="C81" s="1182"/>
      <c r="D81" s="1182"/>
      <c r="E81" s="396" t="s">
        <v>677</v>
      </c>
      <c r="F81" s="468"/>
      <c r="G81" s="397">
        <v>0</v>
      </c>
      <c r="H81" s="397" t="s">
        <v>364</v>
      </c>
      <c r="I81" s="636">
        <f>+VLOOKUP(E81,'Line items'!$B$3:$D$126,3,FALSE)</f>
        <v>221250</v>
      </c>
      <c r="J81" s="398">
        <f>+I81*G81</f>
        <v>0</v>
      </c>
      <c r="K81" s="1223"/>
      <c r="L81" s="1205"/>
      <c r="N81" s="228"/>
    </row>
    <row r="82" spans="2:14" s="109" customFormat="1" ht="13" outlineLevel="1">
      <c r="B82" s="1177" t="s">
        <v>530</v>
      </c>
      <c r="C82" s="1178"/>
      <c r="D82" s="649" t="s">
        <v>414</v>
      </c>
      <c r="E82" s="401" t="s">
        <v>88</v>
      </c>
      <c r="F82" s="469"/>
      <c r="G82" s="402"/>
      <c r="H82" s="402"/>
      <c r="I82" s="633"/>
      <c r="J82" s="403"/>
      <c r="K82" s="549"/>
      <c r="L82" s="1145">
        <f>+K84</f>
        <v>90190</v>
      </c>
      <c r="N82" s="228"/>
    </row>
    <row r="83" spans="2:14" s="109" customFormat="1" ht="13" outlineLevel="1">
      <c r="B83" s="1179"/>
      <c r="C83" s="1180"/>
      <c r="D83" s="645" t="s">
        <v>415</v>
      </c>
      <c r="E83" s="374" t="s">
        <v>88</v>
      </c>
      <c r="F83" s="467"/>
      <c r="G83" s="375"/>
      <c r="H83" s="375"/>
      <c r="I83" s="585"/>
      <c r="J83" s="376"/>
      <c r="K83" s="532"/>
      <c r="L83" s="1204"/>
      <c r="N83" s="228"/>
    </row>
    <row r="84" spans="2:14" s="109" customFormat="1" ht="13" outlineLevel="1">
      <c r="B84" s="1179"/>
      <c r="C84" s="1180"/>
      <c r="D84" s="1180" t="s">
        <v>416</v>
      </c>
      <c r="E84" s="374" t="s">
        <v>340</v>
      </c>
      <c r="F84" s="478">
        <f>2*$E$3</f>
        <v>24000</v>
      </c>
      <c r="G84" s="375"/>
      <c r="H84" s="375"/>
      <c r="I84" s="585"/>
      <c r="J84" s="376">
        <f>+I84*G84</f>
        <v>0</v>
      </c>
      <c r="K84" s="1218">
        <f>+J85*G85</f>
        <v>90190</v>
      </c>
      <c r="L84" s="1204"/>
      <c r="N84" s="228"/>
    </row>
    <row r="85" spans="2:14" s="109" customFormat="1" ht="13" outlineLevel="1">
      <c r="B85" s="1179"/>
      <c r="C85" s="1180"/>
      <c r="D85" s="1180"/>
      <c r="E85" s="456" t="s">
        <v>674</v>
      </c>
      <c r="F85" s="467" t="s">
        <v>497</v>
      </c>
      <c r="G85" s="375">
        <v>1</v>
      </c>
      <c r="H85" s="375" t="s">
        <v>364</v>
      </c>
      <c r="I85" s="585">
        <f>+VLOOKUP(E85,'Line items'!$B$3:$D$126,3,FALSE)</f>
        <v>90190</v>
      </c>
      <c r="J85" s="376">
        <f>+I85*G85</f>
        <v>90190</v>
      </c>
      <c r="K85" s="1218"/>
      <c r="L85" s="1204"/>
      <c r="N85" s="228"/>
    </row>
    <row r="86" spans="2:14" s="109" customFormat="1" ht="13" outlineLevel="1">
      <c r="B86" s="1179"/>
      <c r="C86" s="1180"/>
      <c r="D86" s="1180"/>
      <c r="E86" s="456" t="s">
        <v>675</v>
      </c>
      <c r="F86" s="467"/>
      <c r="G86" s="375">
        <v>0</v>
      </c>
      <c r="H86" s="375" t="s">
        <v>364</v>
      </c>
      <c r="I86" s="585">
        <f>+VLOOKUP(E86,'Line items'!$B$3:$D$126,3,FALSE)</f>
        <v>73750</v>
      </c>
      <c r="J86" s="376">
        <f>+I86*G86</f>
        <v>0</v>
      </c>
      <c r="K86" s="1218"/>
      <c r="L86" s="1204"/>
      <c r="N86" s="228"/>
    </row>
    <row r="87" spans="2:14" s="109" customFormat="1" ht="13" outlineLevel="1">
      <c r="B87" s="1179"/>
      <c r="C87" s="1180"/>
      <c r="D87" s="1180"/>
      <c r="E87" s="374" t="s">
        <v>676</v>
      </c>
      <c r="F87" s="467"/>
      <c r="G87" s="375">
        <v>0</v>
      </c>
      <c r="H87" s="375" t="s">
        <v>364</v>
      </c>
      <c r="I87" s="585">
        <f>+VLOOKUP(E87,'Line items'!$B$3:$D$126,3,FALSE)</f>
        <v>221250</v>
      </c>
      <c r="J87" s="376">
        <f>+I87*G87</f>
        <v>0</v>
      </c>
      <c r="K87" s="1218"/>
      <c r="L87" s="1204"/>
      <c r="N87" s="228"/>
    </row>
    <row r="88" spans="2:14" s="109" customFormat="1" outlineLevel="1" thickBot="1">
      <c r="B88" s="1181"/>
      <c r="C88" s="1182"/>
      <c r="D88" s="1182"/>
      <c r="E88" s="396" t="s">
        <v>677</v>
      </c>
      <c r="F88" s="468"/>
      <c r="G88" s="397">
        <v>0</v>
      </c>
      <c r="H88" s="397" t="s">
        <v>364</v>
      </c>
      <c r="I88" s="636">
        <f>+VLOOKUP(E88,'Line items'!$B$3:$D$126,3,FALSE)</f>
        <v>221250</v>
      </c>
      <c r="J88" s="398">
        <f>+I88*G88</f>
        <v>0</v>
      </c>
      <c r="K88" s="1223"/>
      <c r="L88" s="1205"/>
      <c r="N88" s="228"/>
    </row>
    <row r="89" spans="2:14" s="109" customFormat="1" ht="13" outlineLevel="1">
      <c r="B89" s="1177" t="s">
        <v>531</v>
      </c>
      <c r="C89" s="1178"/>
      <c r="D89" s="649" t="s">
        <v>417</v>
      </c>
      <c r="E89" s="401" t="s">
        <v>88</v>
      </c>
      <c r="F89" s="469"/>
      <c r="G89" s="402"/>
      <c r="H89" s="402"/>
      <c r="I89" s="633"/>
      <c r="J89" s="403"/>
      <c r="K89" s="549"/>
      <c r="L89" s="1145">
        <f>+K91</f>
        <v>90190</v>
      </c>
      <c r="N89" s="228"/>
    </row>
    <row r="90" spans="2:14" s="109" customFormat="1" ht="13" outlineLevel="1">
      <c r="B90" s="1179"/>
      <c r="C90" s="1180"/>
      <c r="D90" s="645" t="s">
        <v>418</v>
      </c>
      <c r="E90" s="374" t="s">
        <v>88</v>
      </c>
      <c r="F90" s="467"/>
      <c r="G90" s="375"/>
      <c r="H90" s="375"/>
      <c r="I90" s="585"/>
      <c r="J90" s="376"/>
      <c r="K90" s="532"/>
      <c r="L90" s="1204"/>
      <c r="N90" s="228"/>
    </row>
    <row r="91" spans="2:14" s="109" customFormat="1" ht="13" outlineLevel="1">
      <c r="B91" s="1179"/>
      <c r="C91" s="1180"/>
      <c r="D91" s="1180" t="s">
        <v>419</v>
      </c>
      <c r="E91" s="374" t="s">
        <v>340</v>
      </c>
      <c r="F91" s="478">
        <f>2*$E$3</f>
        <v>24000</v>
      </c>
      <c r="G91" s="375"/>
      <c r="H91" s="375"/>
      <c r="I91" s="585"/>
      <c r="J91" s="376">
        <f>+I91*G91</f>
        <v>0</v>
      </c>
      <c r="K91" s="1218">
        <f>+J92*G92</f>
        <v>90190</v>
      </c>
      <c r="L91" s="1204"/>
      <c r="N91" s="228"/>
    </row>
    <row r="92" spans="2:14" s="109" customFormat="1" ht="13" outlineLevel="1">
      <c r="B92" s="1179"/>
      <c r="C92" s="1180"/>
      <c r="D92" s="1180"/>
      <c r="E92" s="456" t="s">
        <v>674</v>
      </c>
      <c r="F92" s="467" t="s">
        <v>497</v>
      </c>
      <c r="G92" s="375">
        <v>1</v>
      </c>
      <c r="H92" s="375" t="s">
        <v>364</v>
      </c>
      <c r="I92" s="585">
        <f>+VLOOKUP(E92,'Line items'!$B$3:$D$126,3,FALSE)</f>
        <v>90190</v>
      </c>
      <c r="J92" s="376">
        <f>+I92*G92</f>
        <v>90190</v>
      </c>
      <c r="K92" s="1218"/>
      <c r="L92" s="1204"/>
      <c r="N92" s="228"/>
    </row>
    <row r="93" spans="2:14" s="109" customFormat="1" ht="13" outlineLevel="1">
      <c r="B93" s="1179"/>
      <c r="C93" s="1180"/>
      <c r="D93" s="1180"/>
      <c r="E93" s="456" t="s">
        <v>675</v>
      </c>
      <c r="F93" s="467"/>
      <c r="G93" s="375">
        <v>0</v>
      </c>
      <c r="H93" s="375" t="s">
        <v>364</v>
      </c>
      <c r="I93" s="585">
        <f>+VLOOKUP(E93,'Line items'!$B$3:$D$126,3,FALSE)</f>
        <v>73750</v>
      </c>
      <c r="J93" s="376">
        <f>+I93*G93</f>
        <v>0</v>
      </c>
      <c r="K93" s="1218"/>
      <c r="L93" s="1204"/>
      <c r="N93" s="228"/>
    </row>
    <row r="94" spans="2:14" s="109" customFormat="1" ht="13" outlineLevel="1">
      <c r="B94" s="1179"/>
      <c r="C94" s="1180"/>
      <c r="D94" s="1180"/>
      <c r="E94" s="374" t="s">
        <v>676</v>
      </c>
      <c r="F94" s="467"/>
      <c r="G94" s="375">
        <v>0</v>
      </c>
      <c r="H94" s="375" t="s">
        <v>364</v>
      </c>
      <c r="I94" s="585">
        <f>+VLOOKUP(E94,'Line items'!$B$3:$D$126,3,FALSE)</f>
        <v>221250</v>
      </c>
      <c r="J94" s="376">
        <f>+I94*G94</f>
        <v>0</v>
      </c>
      <c r="K94" s="1218"/>
      <c r="L94" s="1204"/>
      <c r="N94" s="228"/>
    </row>
    <row r="95" spans="2:14" s="109" customFormat="1" outlineLevel="1" thickBot="1">
      <c r="B95" s="1181"/>
      <c r="C95" s="1182"/>
      <c r="D95" s="1182"/>
      <c r="E95" s="396" t="s">
        <v>677</v>
      </c>
      <c r="F95" s="468"/>
      <c r="G95" s="397">
        <v>0</v>
      </c>
      <c r="H95" s="397" t="s">
        <v>364</v>
      </c>
      <c r="I95" s="636">
        <f>+VLOOKUP(E95,'Line items'!$B$3:$D$126,3,FALSE)</f>
        <v>221250</v>
      </c>
      <c r="J95" s="398">
        <f>+I95*G95</f>
        <v>0</v>
      </c>
      <c r="K95" s="1223"/>
      <c r="L95" s="1205"/>
      <c r="N95" s="228"/>
    </row>
    <row r="96" spans="2:14" s="109" customFormat="1" thickBot="1">
      <c r="B96" s="457">
        <v>1.8</v>
      </c>
      <c r="C96" s="1168" t="s">
        <v>22</v>
      </c>
      <c r="D96" s="1168"/>
      <c r="E96" s="1168"/>
      <c r="F96" s="475"/>
      <c r="G96" s="458"/>
      <c r="H96" s="458"/>
      <c r="I96" s="651"/>
      <c r="J96" s="458"/>
      <c r="K96" s="459"/>
      <c r="L96" s="581"/>
      <c r="N96" s="228"/>
    </row>
    <row r="97" spans="2:15" s="109" customFormat="1" ht="13" outlineLevel="1">
      <c r="B97" s="1177" t="s">
        <v>532</v>
      </c>
      <c r="C97" s="1178"/>
      <c r="D97" s="649" t="s">
        <v>420</v>
      </c>
      <c r="E97" s="401" t="s">
        <v>673</v>
      </c>
      <c r="F97" s="469"/>
      <c r="G97" s="402">
        <v>6</v>
      </c>
      <c r="H97" s="402" t="s">
        <v>364</v>
      </c>
      <c r="I97" s="633">
        <f>+VLOOKUP(E97,'Line items'!$B$3:$D$126,3,FALSE)</f>
        <v>1500</v>
      </c>
      <c r="J97" s="403">
        <f>+I97*G97</f>
        <v>9000</v>
      </c>
      <c r="K97" s="557">
        <f>+J97</f>
        <v>9000</v>
      </c>
      <c r="L97" s="1145">
        <f>+SUM(K97:K99)</f>
        <v>9000</v>
      </c>
      <c r="O97" s="228"/>
    </row>
    <row r="98" spans="2:15" s="109" customFormat="1" ht="13" outlineLevel="1">
      <c r="B98" s="1179"/>
      <c r="C98" s="1180"/>
      <c r="D98" s="645" t="s">
        <v>421</v>
      </c>
      <c r="E98" s="374" t="s">
        <v>88</v>
      </c>
      <c r="F98" s="467"/>
      <c r="G98" s="375"/>
      <c r="H98" s="375"/>
      <c r="I98" s="585"/>
      <c r="J98" s="376"/>
      <c r="K98" s="534"/>
      <c r="L98" s="1204"/>
      <c r="N98" s="228"/>
    </row>
    <row r="99" spans="2:15" s="109" customFormat="1" outlineLevel="1" thickBot="1">
      <c r="B99" s="1181"/>
      <c r="C99" s="1182"/>
      <c r="D99" s="650" t="s">
        <v>422</v>
      </c>
      <c r="E99" s="396" t="s">
        <v>88</v>
      </c>
      <c r="F99" s="468"/>
      <c r="G99" s="397"/>
      <c r="H99" s="397"/>
      <c r="I99" s="636"/>
      <c r="J99" s="398"/>
      <c r="K99" s="551"/>
      <c r="L99" s="1205"/>
      <c r="N99" s="228"/>
    </row>
    <row r="100" spans="2:15" s="109" customFormat="1" ht="13" outlineLevel="1">
      <c r="B100" s="1177" t="s">
        <v>533</v>
      </c>
      <c r="C100" s="1178"/>
      <c r="D100" s="1178" t="s">
        <v>423</v>
      </c>
      <c r="E100" s="401" t="s">
        <v>315</v>
      </c>
      <c r="F100" s="469"/>
      <c r="G100" s="402">
        <f>+VLOOKUP($E100,Supermarket!$E$10:$G$193,3,FALSE)</f>
        <v>1</v>
      </c>
      <c r="H100" s="402" t="s">
        <v>364</v>
      </c>
      <c r="I100" s="633">
        <f>+VLOOKUP(E100,'Line items'!$B$3:$D$126,3,FALSE)</f>
        <v>5000</v>
      </c>
      <c r="J100" s="403">
        <f>+I100*G100</f>
        <v>5000</v>
      </c>
      <c r="K100" s="1186">
        <f>+SUM(J100:J101)</f>
        <v>65000</v>
      </c>
      <c r="L100" s="1145">
        <f>+SUM(K100:K103)</f>
        <v>65000</v>
      </c>
      <c r="N100" s="228"/>
    </row>
    <row r="101" spans="2:15" s="109" customFormat="1" ht="13" outlineLevel="1">
      <c r="B101" s="1179"/>
      <c r="C101" s="1180"/>
      <c r="D101" s="1180"/>
      <c r="E101" s="374" t="s">
        <v>700</v>
      </c>
      <c r="F101" s="467"/>
      <c r="G101" s="375">
        <v>300</v>
      </c>
      <c r="H101" s="375" t="s">
        <v>360</v>
      </c>
      <c r="I101" s="585">
        <f>+VLOOKUP(E101,'Line items'!$B$3:$D$126,3,FALSE)</f>
        <v>200</v>
      </c>
      <c r="J101" s="376">
        <f>+I101*G101</f>
        <v>60000</v>
      </c>
      <c r="K101" s="1180"/>
      <c r="L101" s="1204"/>
      <c r="N101" s="228"/>
    </row>
    <row r="102" spans="2:15" s="109" customFormat="1" ht="13" outlineLevel="1">
      <c r="B102" s="1179"/>
      <c r="C102" s="1180"/>
      <c r="D102" s="645" t="s">
        <v>424</v>
      </c>
      <c r="E102" s="374" t="s">
        <v>88</v>
      </c>
      <c r="F102" s="467"/>
      <c r="G102" s="375"/>
      <c r="H102" s="375"/>
      <c r="I102" s="585"/>
      <c r="J102" s="376"/>
      <c r="K102" s="534"/>
      <c r="L102" s="1204"/>
      <c r="N102" s="228"/>
    </row>
    <row r="103" spans="2:15" s="109" customFormat="1" outlineLevel="1" thickBot="1">
      <c r="B103" s="1183"/>
      <c r="C103" s="1184"/>
      <c r="D103" s="646" t="s">
        <v>425</v>
      </c>
      <c r="E103" s="382"/>
      <c r="F103" s="470"/>
      <c r="G103" s="383"/>
      <c r="H103" s="383"/>
      <c r="I103" s="624"/>
      <c r="J103" s="384">
        <f>+I103*G103</f>
        <v>0</v>
      </c>
      <c r="K103" s="543">
        <f t="shared" ref="K103" si="2">+J103</f>
        <v>0</v>
      </c>
      <c r="L103" s="1206"/>
      <c r="N103" s="228"/>
    </row>
    <row r="104" spans="2:15" s="109" customFormat="1" thickBot="1">
      <c r="B104" s="664">
        <v>2</v>
      </c>
      <c r="C104" s="665" t="s">
        <v>316</v>
      </c>
      <c r="D104" s="666"/>
      <c r="E104" s="667"/>
      <c r="F104" s="668"/>
      <c r="G104" s="669"/>
      <c r="H104" s="669"/>
      <c r="I104" s="670"/>
      <c r="J104" s="671"/>
      <c r="K104" s="672"/>
      <c r="L104" s="673"/>
      <c r="N104" s="228"/>
    </row>
    <row r="105" spans="2:15" s="109" customFormat="1" thickBot="1">
      <c r="B105" s="499">
        <v>2.1</v>
      </c>
      <c r="C105" s="1210" t="s">
        <v>34</v>
      </c>
      <c r="D105" s="1210"/>
      <c r="E105" s="1210"/>
      <c r="F105" s="500"/>
      <c r="G105" s="501"/>
      <c r="H105" s="501"/>
      <c r="I105" s="663"/>
      <c r="J105" s="502"/>
      <c r="K105" s="562"/>
      <c r="L105" s="563"/>
      <c r="N105" s="228"/>
    </row>
    <row r="106" spans="2:15" s="109" customFormat="1" ht="13" outlineLevel="1">
      <c r="B106" s="1177" t="s">
        <v>534</v>
      </c>
      <c r="C106" s="1178"/>
      <c r="D106" s="1178" t="s">
        <v>427</v>
      </c>
      <c r="E106" s="401" t="s">
        <v>341</v>
      </c>
      <c r="F106" s="469"/>
      <c r="G106" s="402"/>
      <c r="H106" s="402"/>
      <c r="I106" s="633"/>
      <c r="J106" s="403"/>
      <c r="K106" s="1186">
        <f>+SUM(J106:J108)</f>
        <v>6850</v>
      </c>
      <c r="L106" s="1145">
        <f>+SUM(K106:K110)</f>
        <v>7850</v>
      </c>
      <c r="N106" s="228"/>
    </row>
    <row r="107" spans="2:15" s="109" customFormat="1" ht="13" outlineLevel="1">
      <c r="B107" s="1179"/>
      <c r="C107" s="1180"/>
      <c r="D107" s="1180"/>
      <c r="E107" s="370" t="s">
        <v>703</v>
      </c>
      <c r="F107" s="467"/>
      <c r="G107" s="375">
        <v>1</v>
      </c>
      <c r="H107" s="375" t="s">
        <v>364</v>
      </c>
      <c r="I107" s="585">
        <f>+VLOOKUP(E107,'Line items'!$B$3:$D$126,3,FALSE)</f>
        <v>1850</v>
      </c>
      <c r="J107" s="376">
        <f>+I107*G107</f>
        <v>1850</v>
      </c>
      <c r="K107" s="1180"/>
      <c r="L107" s="1204"/>
      <c r="N107" s="228"/>
    </row>
    <row r="108" spans="2:15" s="109" customFormat="1" ht="13" outlineLevel="1">
      <c r="B108" s="1179"/>
      <c r="C108" s="1180"/>
      <c r="D108" s="1180"/>
      <c r="E108" s="370" t="s">
        <v>704</v>
      </c>
      <c r="F108" s="467"/>
      <c r="G108" s="375">
        <v>1</v>
      </c>
      <c r="H108" s="375" t="s">
        <v>364</v>
      </c>
      <c r="I108" s="585">
        <f>+VLOOKUP(E108,'Line items'!$B$3:$D$126,3,FALSE)</f>
        <v>5000</v>
      </c>
      <c r="J108" s="376">
        <f>+I108*G108</f>
        <v>5000</v>
      </c>
      <c r="K108" s="1180"/>
      <c r="L108" s="1204"/>
      <c r="N108" s="228"/>
    </row>
    <row r="109" spans="2:15" s="109" customFormat="1" ht="13" outlineLevel="1">
      <c r="B109" s="1179"/>
      <c r="C109" s="1180"/>
      <c r="D109" s="645" t="s">
        <v>428</v>
      </c>
      <c r="E109" s="374" t="s">
        <v>88</v>
      </c>
      <c r="F109" s="467"/>
      <c r="G109" s="375"/>
      <c r="H109" s="375"/>
      <c r="I109" s="585"/>
      <c r="J109" s="376"/>
      <c r="K109" s="534"/>
      <c r="L109" s="1204"/>
      <c r="N109" s="228"/>
    </row>
    <row r="110" spans="2:15" s="109" customFormat="1" outlineLevel="1" thickBot="1">
      <c r="B110" s="1181"/>
      <c r="C110" s="1182"/>
      <c r="D110" s="650" t="s">
        <v>429</v>
      </c>
      <c r="E110" s="396" t="s">
        <v>191</v>
      </c>
      <c r="F110" s="468"/>
      <c r="G110" s="397">
        <v>100</v>
      </c>
      <c r="H110" s="397" t="s">
        <v>360</v>
      </c>
      <c r="I110" s="636">
        <f>+VLOOKUP(E110,'Line items'!$B$3:$D$126,3,FALSE)</f>
        <v>10</v>
      </c>
      <c r="J110" s="398">
        <f>+I110*G110</f>
        <v>1000</v>
      </c>
      <c r="K110" s="551">
        <f>+J110</f>
        <v>1000</v>
      </c>
      <c r="L110" s="1205"/>
      <c r="N110" s="228"/>
    </row>
    <row r="111" spans="2:15" s="109" customFormat="1" ht="13" outlineLevel="1">
      <c r="B111" s="1177" t="s">
        <v>535</v>
      </c>
      <c r="C111" s="1178"/>
      <c r="D111" s="1178" t="s">
        <v>430</v>
      </c>
      <c r="E111" s="401" t="s">
        <v>559</v>
      </c>
      <c r="F111" s="469" t="s">
        <v>318</v>
      </c>
      <c r="G111" s="402">
        <v>100</v>
      </c>
      <c r="H111" s="402" t="s">
        <v>360</v>
      </c>
      <c r="I111" s="633">
        <f>+VLOOKUP(E111,'Line items'!$B$3:$D$126,3,FALSE)</f>
        <v>90</v>
      </c>
      <c r="J111" s="403">
        <f>+I111*G111</f>
        <v>9000</v>
      </c>
      <c r="K111" s="1186">
        <f>+SUM(J111:J113)</f>
        <v>14700</v>
      </c>
      <c r="L111" s="1145">
        <f>+SUM(K111:K115)</f>
        <v>15700</v>
      </c>
      <c r="N111" s="228"/>
    </row>
    <row r="112" spans="2:15" s="109" customFormat="1" ht="13" outlineLevel="1">
      <c r="B112" s="1179"/>
      <c r="C112" s="1180"/>
      <c r="D112" s="1180"/>
      <c r="E112" s="370" t="s">
        <v>704</v>
      </c>
      <c r="F112" s="467"/>
      <c r="G112" s="375">
        <v>1</v>
      </c>
      <c r="H112" s="375" t="s">
        <v>364</v>
      </c>
      <c r="I112" s="585">
        <f>+VLOOKUP(E112,'Line items'!$B$3:$D$126,3,FALSE)</f>
        <v>5000</v>
      </c>
      <c r="J112" s="376">
        <f>+I112*G112</f>
        <v>5000</v>
      </c>
      <c r="K112" s="1180"/>
      <c r="L112" s="1204"/>
      <c r="N112" s="228"/>
    </row>
    <row r="113" spans="2:14" s="109" customFormat="1" ht="13" outlineLevel="1">
      <c r="B113" s="1179"/>
      <c r="C113" s="1180"/>
      <c r="D113" s="1180"/>
      <c r="E113" s="374" t="s">
        <v>705</v>
      </c>
      <c r="F113" s="467"/>
      <c r="G113" s="375">
        <f>+VLOOKUP($E113,Supermarket!$E$10:$G$193,3,FALSE)</f>
        <v>1</v>
      </c>
      <c r="H113" s="375" t="s">
        <v>364</v>
      </c>
      <c r="I113" s="585">
        <f>+VLOOKUP(E113,'Line items'!$B$3:$D$126,3,FALSE)</f>
        <v>700</v>
      </c>
      <c r="J113" s="376">
        <f>+I113*G113</f>
        <v>700</v>
      </c>
      <c r="K113" s="1180"/>
      <c r="L113" s="1204"/>
      <c r="N113" s="228"/>
    </row>
    <row r="114" spans="2:14" s="109" customFormat="1" ht="13" outlineLevel="1">
      <c r="B114" s="1179"/>
      <c r="C114" s="1180"/>
      <c r="D114" s="645" t="s">
        <v>431</v>
      </c>
      <c r="E114" s="374" t="s">
        <v>88</v>
      </c>
      <c r="F114" s="467"/>
      <c r="G114" s="375"/>
      <c r="H114" s="375"/>
      <c r="I114" s="585"/>
      <c r="J114" s="376"/>
      <c r="K114" s="534"/>
      <c r="L114" s="1204"/>
      <c r="N114" s="228"/>
    </row>
    <row r="115" spans="2:14" s="109" customFormat="1" outlineLevel="1" thickBot="1">
      <c r="B115" s="1181"/>
      <c r="C115" s="1182"/>
      <c r="D115" s="650" t="s">
        <v>432</v>
      </c>
      <c r="E115" s="505" t="s">
        <v>191</v>
      </c>
      <c r="F115" s="468"/>
      <c r="G115" s="397">
        <v>100</v>
      </c>
      <c r="H115" s="397" t="s">
        <v>360</v>
      </c>
      <c r="I115" s="636">
        <f>+VLOOKUP(E115,'Line items'!$B$3:$D$126,3,FALSE)</f>
        <v>10</v>
      </c>
      <c r="J115" s="398">
        <f>+I115*G115</f>
        <v>1000</v>
      </c>
      <c r="K115" s="551">
        <f>+J115</f>
        <v>1000</v>
      </c>
      <c r="L115" s="1205"/>
      <c r="N115" s="228"/>
    </row>
    <row r="116" spans="2:14" s="109" customFormat="1" thickBot="1">
      <c r="B116" s="499">
        <v>2.2000000000000002</v>
      </c>
      <c r="C116" s="1210" t="s">
        <v>37</v>
      </c>
      <c r="D116" s="1210"/>
      <c r="E116" s="1210"/>
      <c r="F116" s="500"/>
      <c r="G116" s="501"/>
      <c r="H116" s="501"/>
      <c r="I116" s="663"/>
      <c r="J116" s="502"/>
      <c r="K116" s="562"/>
      <c r="L116" s="563"/>
      <c r="N116" s="228"/>
    </row>
    <row r="117" spans="2:14" s="109" customFormat="1" ht="13" outlineLevel="1">
      <c r="B117" s="1177" t="s">
        <v>536</v>
      </c>
      <c r="C117" s="1178"/>
      <c r="D117" s="649" t="s">
        <v>433</v>
      </c>
      <c r="E117" s="401" t="s">
        <v>88</v>
      </c>
      <c r="F117" s="469"/>
      <c r="G117" s="402"/>
      <c r="H117" s="402"/>
      <c r="I117" s="633"/>
      <c r="J117" s="403"/>
      <c r="K117" s="557"/>
      <c r="L117" s="1145">
        <f>+SUM(K117:K120)</f>
        <v>1200</v>
      </c>
      <c r="N117" s="228"/>
    </row>
    <row r="118" spans="2:14" s="109" customFormat="1" ht="13" outlineLevel="1">
      <c r="B118" s="1179"/>
      <c r="C118" s="1180"/>
      <c r="D118" s="645" t="s">
        <v>434</v>
      </c>
      <c r="E118" s="374" t="s">
        <v>88</v>
      </c>
      <c r="F118" s="467"/>
      <c r="G118" s="375"/>
      <c r="H118" s="375"/>
      <c r="I118" s="585"/>
      <c r="J118" s="376"/>
      <c r="K118" s="534"/>
      <c r="L118" s="1204"/>
      <c r="N118" s="228"/>
    </row>
    <row r="119" spans="2:14" s="109" customFormat="1" ht="13" outlineLevel="1">
      <c r="B119" s="1179"/>
      <c r="C119" s="1180"/>
      <c r="D119" s="1180" t="s">
        <v>435</v>
      </c>
      <c r="E119" s="370" t="s">
        <v>707</v>
      </c>
      <c r="F119" s="467"/>
      <c r="G119" s="375">
        <f>+VLOOKUP($E119,Supermarket!$E$10:$G$193,3,FALSE)</f>
        <v>8</v>
      </c>
      <c r="H119" s="375" t="s">
        <v>364</v>
      </c>
      <c r="I119" s="585">
        <f>+VLOOKUP(E119,'Line items'!$B$3:$D$126,3,FALSE)</f>
        <v>150</v>
      </c>
      <c r="J119" s="376">
        <f>+I119*G119</f>
        <v>1200</v>
      </c>
      <c r="K119" s="1192">
        <f>+SUM(J119:J120)</f>
        <v>1200</v>
      </c>
      <c r="L119" s="1204"/>
      <c r="N119" s="228"/>
    </row>
    <row r="120" spans="2:14" s="109" customFormat="1" outlineLevel="1" thickBot="1">
      <c r="B120" s="1181"/>
      <c r="C120" s="1182"/>
      <c r="D120" s="1182"/>
      <c r="E120" s="396" t="s">
        <v>88</v>
      </c>
      <c r="F120" s="468"/>
      <c r="G120" s="397"/>
      <c r="H120" s="397"/>
      <c r="I120" s="636"/>
      <c r="J120" s="398"/>
      <c r="K120" s="1182"/>
      <c r="L120" s="1205"/>
      <c r="N120" s="228"/>
    </row>
    <row r="121" spans="2:14" s="109" customFormat="1" ht="13" outlineLevel="1">
      <c r="B121" s="1177" t="s">
        <v>537</v>
      </c>
      <c r="C121" s="1178"/>
      <c r="D121" s="649" t="s">
        <v>436</v>
      </c>
      <c r="E121" s="401" t="s">
        <v>88</v>
      </c>
      <c r="F121" s="469"/>
      <c r="G121" s="402"/>
      <c r="H121" s="402"/>
      <c r="I121" s="633"/>
      <c r="J121" s="403"/>
      <c r="K121" s="557"/>
      <c r="L121" s="1145">
        <f>+SUM(K121:K124)</f>
        <v>21000</v>
      </c>
      <c r="N121" s="228"/>
    </row>
    <row r="122" spans="2:14" s="109" customFormat="1" ht="13" outlineLevel="1">
      <c r="B122" s="1179"/>
      <c r="C122" s="1180"/>
      <c r="D122" s="645" t="s">
        <v>437</v>
      </c>
      <c r="E122" s="374" t="s">
        <v>88</v>
      </c>
      <c r="F122" s="467"/>
      <c r="G122" s="375"/>
      <c r="H122" s="375"/>
      <c r="I122" s="585"/>
      <c r="J122" s="376"/>
      <c r="K122" s="534"/>
      <c r="L122" s="1204"/>
      <c r="N122" s="228"/>
    </row>
    <row r="123" spans="2:14" s="109" customFormat="1" ht="13" outlineLevel="1">
      <c r="B123" s="1179"/>
      <c r="C123" s="1180"/>
      <c r="D123" s="1180" t="s">
        <v>447</v>
      </c>
      <c r="E123" s="639"/>
      <c r="F123" s="467"/>
      <c r="G123" s="375"/>
      <c r="H123" s="375"/>
      <c r="I123" s="585"/>
      <c r="J123" s="376">
        <f>+I123*G123</f>
        <v>0</v>
      </c>
      <c r="K123" s="1192">
        <f>+SUM(J123:J124)</f>
        <v>21000</v>
      </c>
      <c r="L123" s="1204"/>
      <c r="N123" s="228"/>
    </row>
    <row r="124" spans="2:14" s="109" customFormat="1" outlineLevel="1" thickBot="1">
      <c r="B124" s="1181"/>
      <c r="C124" s="1182"/>
      <c r="D124" s="1182"/>
      <c r="E124" s="396" t="s">
        <v>725</v>
      </c>
      <c r="F124" s="468"/>
      <c r="G124" s="397">
        <v>1</v>
      </c>
      <c r="H124" s="397" t="s">
        <v>364</v>
      </c>
      <c r="I124" s="636">
        <f>+VLOOKUP(E124,'Line items'!$B$3:$D$126,3,FALSE)</f>
        <v>21000</v>
      </c>
      <c r="J124" s="398">
        <f>+I124*G124</f>
        <v>21000</v>
      </c>
      <c r="K124" s="1182"/>
      <c r="L124" s="1205"/>
      <c r="N124" s="228"/>
    </row>
    <row r="125" spans="2:14" s="109" customFormat="1" ht="13" outlineLevel="1">
      <c r="B125" s="1177" t="s">
        <v>538</v>
      </c>
      <c r="C125" s="1178"/>
      <c r="D125" s="1178" t="s">
        <v>438</v>
      </c>
      <c r="E125" s="401" t="s">
        <v>342</v>
      </c>
      <c r="F125" s="469"/>
      <c r="G125" s="402"/>
      <c r="H125" s="402"/>
      <c r="I125" s="633"/>
      <c r="J125" s="403"/>
      <c r="K125" s="1186">
        <f>+SUM(J125:J127)</f>
        <v>23000</v>
      </c>
      <c r="L125" s="1145">
        <f>+SUM(K125:K129)</f>
        <v>24000</v>
      </c>
      <c r="N125" s="228"/>
    </row>
    <row r="126" spans="2:14" s="109" customFormat="1" ht="13" outlineLevel="1">
      <c r="B126" s="1179"/>
      <c r="C126" s="1180"/>
      <c r="D126" s="1180"/>
      <c r="E126" s="374" t="s">
        <v>343</v>
      </c>
      <c r="F126" s="467"/>
      <c r="G126" s="375">
        <v>100</v>
      </c>
      <c r="H126" s="375" t="s">
        <v>360</v>
      </c>
      <c r="I126" s="585">
        <f>+VLOOKUP(E126,'Line items'!$B$3:$D$126,3,FALSE)</f>
        <v>20</v>
      </c>
      <c r="J126" s="376">
        <f>+I126*G126</f>
        <v>2000</v>
      </c>
      <c r="K126" s="1180"/>
      <c r="L126" s="1204"/>
      <c r="N126" s="228"/>
    </row>
    <row r="127" spans="2:14" s="109" customFormat="1" ht="13" outlineLevel="1">
      <c r="B127" s="1179"/>
      <c r="C127" s="1180"/>
      <c r="D127" s="1180"/>
      <c r="E127" s="374" t="s">
        <v>725</v>
      </c>
      <c r="F127" s="467"/>
      <c r="G127" s="375">
        <v>1</v>
      </c>
      <c r="H127" s="375" t="s">
        <v>364</v>
      </c>
      <c r="I127" s="585">
        <f>+VLOOKUP(E127,'Line items'!$B$3:$D$126,3,FALSE)</f>
        <v>21000</v>
      </c>
      <c r="J127" s="376">
        <f>+I127*G127</f>
        <v>21000</v>
      </c>
      <c r="K127" s="1180"/>
      <c r="L127" s="1204"/>
      <c r="N127" s="228"/>
    </row>
    <row r="128" spans="2:14" s="109" customFormat="1" ht="13" outlineLevel="1">
      <c r="B128" s="1179"/>
      <c r="C128" s="1180"/>
      <c r="D128" s="645" t="s">
        <v>439</v>
      </c>
      <c r="E128" s="374" t="s">
        <v>88</v>
      </c>
      <c r="F128" s="467"/>
      <c r="G128" s="375"/>
      <c r="H128" s="375"/>
      <c r="I128" s="585"/>
      <c r="J128" s="376"/>
      <c r="K128" s="534"/>
      <c r="L128" s="1204"/>
      <c r="N128" s="228"/>
    </row>
    <row r="129" spans="2:12" s="109" customFormat="1" outlineLevel="1" thickBot="1">
      <c r="B129" s="1181"/>
      <c r="C129" s="1182"/>
      <c r="D129" s="650" t="s">
        <v>440</v>
      </c>
      <c r="E129" s="396" t="s">
        <v>191</v>
      </c>
      <c r="F129" s="468"/>
      <c r="G129" s="397">
        <v>100</v>
      </c>
      <c r="H129" s="397" t="s">
        <v>360</v>
      </c>
      <c r="I129" s="636">
        <f>+VLOOKUP(E129,'Line items'!$B$3:$D$126,3,FALSE)</f>
        <v>10</v>
      </c>
      <c r="J129" s="398">
        <f>+I129*G129</f>
        <v>1000</v>
      </c>
      <c r="K129" s="551">
        <f t="shared" ref="K129:K131" si="3">+J129</f>
        <v>1000</v>
      </c>
      <c r="L129" s="1205"/>
    </row>
    <row r="130" spans="2:12" s="109" customFormat="1" thickBot="1">
      <c r="B130" s="499">
        <v>2.2999999999999998</v>
      </c>
      <c r="C130" s="1210" t="s">
        <v>38</v>
      </c>
      <c r="D130" s="1210"/>
      <c r="E130" s="1210"/>
      <c r="F130" s="500"/>
      <c r="G130" s="501"/>
      <c r="H130" s="501"/>
      <c r="I130" s="663"/>
      <c r="J130" s="502"/>
      <c r="K130" s="562"/>
      <c r="L130" s="563"/>
    </row>
    <row r="131" spans="2:12" s="109" customFormat="1" ht="13" outlineLevel="1">
      <c r="B131" s="1177" t="s">
        <v>539</v>
      </c>
      <c r="C131" s="1178"/>
      <c r="D131" s="649" t="s">
        <v>441</v>
      </c>
      <c r="E131" s="401" t="s">
        <v>321</v>
      </c>
      <c r="F131" s="469"/>
      <c r="G131" s="402">
        <f>+VLOOKUP($E131,Supermarket!$E$10:$G$193,3,FALSE)</f>
        <v>100</v>
      </c>
      <c r="H131" s="402" t="s">
        <v>360</v>
      </c>
      <c r="I131" s="633">
        <f>+VLOOKUP(E131,'Line items'!$B$3:$D$126,3,FALSE)</f>
        <v>10</v>
      </c>
      <c r="J131" s="403">
        <f>+I131*G131</f>
        <v>1000</v>
      </c>
      <c r="K131" s="557">
        <f t="shared" si="3"/>
        <v>1000</v>
      </c>
      <c r="L131" s="1145">
        <f>+SUM(K131:K135)</f>
        <v>121000</v>
      </c>
    </row>
    <row r="132" spans="2:12" s="109" customFormat="1" ht="13" outlineLevel="1">
      <c r="B132" s="1179"/>
      <c r="C132" s="1180"/>
      <c r="D132" s="645" t="s">
        <v>442</v>
      </c>
      <c r="E132" s="374" t="s">
        <v>88</v>
      </c>
      <c r="F132" s="467"/>
      <c r="G132" s="375"/>
      <c r="H132" s="375"/>
      <c r="I132" s="585"/>
      <c r="J132" s="376"/>
      <c r="K132" s="534"/>
      <c r="L132" s="1146"/>
    </row>
    <row r="133" spans="2:12" s="109" customFormat="1" ht="13" outlineLevel="1">
      <c r="B133" s="1179"/>
      <c r="C133" s="1180"/>
      <c r="D133" s="1180" t="s">
        <v>443</v>
      </c>
      <c r="E133" s="374" t="s">
        <v>647</v>
      </c>
      <c r="F133" s="467"/>
      <c r="G133" s="375">
        <v>12000</v>
      </c>
      <c r="H133" s="375" t="s">
        <v>95</v>
      </c>
      <c r="I133" s="585">
        <f>+VLOOKUP(E133,'Line items'!$B$3:$D$126,3,FALSE)</f>
        <v>10</v>
      </c>
      <c r="J133" s="376">
        <f>+I133*G133</f>
        <v>120000</v>
      </c>
      <c r="K133" s="1192">
        <f>+SUM(J133:J135)</f>
        <v>120000</v>
      </c>
      <c r="L133" s="1146"/>
    </row>
    <row r="134" spans="2:12" s="109" customFormat="1" ht="13" outlineLevel="1">
      <c r="B134" s="1179"/>
      <c r="C134" s="1180"/>
      <c r="D134" s="1180"/>
      <c r="E134" s="374"/>
      <c r="F134" s="467"/>
      <c r="G134" s="375"/>
      <c r="H134" s="375"/>
      <c r="I134" s="585"/>
      <c r="J134" s="376"/>
      <c r="K134" s="1180"/>
      <c r="L134" s="1146"/>
    </row>
    <row r="135" spans="2:12" s="109" customFormat="1" outlineLevel="1" thickBot="1">
      <c r="B135" s="1181"/>
      <c r="C135" s="1182"/>
      <c r="D135" s="1182"/>
      <c r="E135" s="505"/>
      <c r="F135" s="468"/>
      <c r="G135" s="397"/>
      <c r="H135" s="397"/>
      <c r="I135" s="636"/>
      <c r="J135" s="398"/>
      <c r="K135" s="1182"/>
      <c r="L135" s="1152"/>
    </row>
    <row r="136" spans="2:12" s="109" customFormat="1" ht="13" outlineLevel="1">
      <c r="B136" s="1177" t="s">
        <v>540</v>
      </c>
      <c r="C136" s="1178"/>
      <c r="D136" s="649" t="s">
        <v>444</v>
      </c>
      <c r="E136" s="401" t="s">
        <v>321</v>
      </c>
      <c r="F136" s="469"/>
      <c r="G136" s="402">
        <f>+VLOOKUP($E136,Supermarket!$E$10:$G$193,3,FALSE)</f>
        <v>100</v>
      </c>
      <c r="H136" s="402" t="s">
        <v>360</v>
      </c>
      <c r="I136" s="633">
        <f>+VLOOKUP(E136,'Line items'!$B$3:$D$126,3,FALSE)</f>
        <v>10</v>
      </c>
      <c r="J136" s="403">
        <f>+I136*G136</f>
        <v>1000</v>
      </c>
      <c r="K136" s="557">
        <f>+J136</f>
        <v>1000</v>
      </c>
      <c r="L136" s="1145">
        <f>+SUM(K136:K140)</f>
        <v>121000</v>
      </c>
    </row>
    <row r="137" spans="2:12" s="109" customFormat="1" ht="13" outlineLevel="1">
      <c r="B137" s="1179"/>
      <c r="C137" s="1180"/>
      <c r="D137" s="645" t="s">
        <v>445</v>
      </c>
      <c r="E137" s="374" t="s">
        <v>88</v>
      </c>
      <c r="F137" s="467"/>
      <c r="G137" s="375"/>
      <c r="H137" s="375"/>
      <c r="I137" s="585"/>
      <c r="J137" s="376"/>
      <c r="K137" s="534"/>
      <c r="L137" s="1204"/>
    </row>
    <row r="138" spans="2:12" s="109" customFormat="1" ht="13" outlineLevel="1">
      <c r="B138" s="1179"/>
      <c r="C138" s="1180"/>
      <c r="D138" s="1180" t="s">
        <v>446</v>
      </c>
      <c r="E138" s="374" t="s">
        <v>647</v>
      </c>
      <c r="F138" s="467"/>
      <c r="G138" s="375">
        <v>12000</v>
      </c>
      <c r="H138" s="375" t="s">
        <v>95</v>
      </c>
      <c r="I138" s="585">
        <f>+VLOOKUP(E138,'Line items'!$B$3:$D$126,3,FALSE)</f>
        <v>10</v>
      </c>
      <c r="J138" s="376">
        <f>+I138*G138</f>
        <v>120000</v>
      </c>
      <c r="K138" s="1192">
        <f>+SUM(J138:J140)</f>
        <v>120000</v>
      </c>
      <c r="L138" s="1204"/>
    </row>
    <row r="139" spans="2:12" s="109" customFormat="1" ht="13" outlineLevel="1">
      <c r="B139" s="1179"/>
      <c r="C139" s="1180"/>
      <c r="D139" s="1180"/>
      <c r="E139" s="374"/>
      <c r="F139" s="467"/>
      <c r="G139" s="375"/>
      <c r="H139" s="375"/>
      <c r="I139" s="585"/>
      <c r="J139" s="376"/>
      <c r="K139" s="1180"/>
      <c r="L139" s="1204"/>
    </row>
    <row r="140" spans="2:12" s="109" customFormat="1" outlineLevel="1" thickBot="1">
      <c r="B140" s="1183"/>
      <c r="C140" s="1184"/>
      <c r="D140" s="1184"/>
      <c r="E140" s="487"/>
      <c r="F140" s="470"/>
      <c r="G140" s="383"/>
      <c r="H140" s="383"/>
      <c r="I140" s="624"/>
      <c r="J140" s="384"/>
      <c r="K140" s="1184"/>
      <c r="L140" s="1206"/>
    </row>
    <row r="141" spans="2:12" s="109" customFormat="1" thickBot="1">
      <c r="B141" s="510">
        <v>3</v>
      </c>
      <c r="C141" s="511" t="s">
        <v>53</v>
      </c>
      <c r="D141" s="644"/>
      <c r="E141" s="513"/>
      <c r="F141" s="514"/>
      <c r="G141" s="515"/>
      <c r="H141" s="515"/>
      <c r="I141" s="684"/>
      <c r="J141" s="516"/>
      <c r="K141" s="564"/>
      <c r="L141" s="565"/>
    </row>
    <row r="142" spans="2:12" s="109" customFormat="1" thickBot="1">
      <c r="B142" s="519">
        <v>3.1</v>
      </c>
      <c r="C142" s="1173" t="s">
        <v>42</v>
      </c>
      <c r="D142" s="1173"/>
      <c r="E142" s="1173"/>
      <c r="F142" s="520"/>
      <c r="G142" s="521"/>
      <c r="H142" s="521"/>
      <c r="I142" s="678"/>
      <c r="J142" s="522"/>
      <c r="K142" s="566"/>
      <c r="L142" s="567"/>
    </row>
    <row r="143" spans="2:12" s="109" customFormat="1" ht="13" outlineLevel="1">
      <c r="B143" s="1177" t="s">
        <v>541</v>
      </c>
      <c r="C143" s="1178"/>
      <c r="D143" s="1178" t="s">
        <v>448</v>
      </c>
      <c r="E143" s="392" t="s">
        <v>324</v>
      </c>
      <c r="F143" s="469"/>
      <c r="G143" s="402">
        <f>+VLOOKUP($E143,Supermarket!$E$10:$G$193,3,FALSE)</f>
        <v>1</v>
      </c>
      <c r="H143" s="402" t="s">
        <v>364</v>
      </c>
      <c r="I143" s="633">
        <f>+VLOOKUP(E143,'Line items'!$B$3:$D$126,3,FALSE)</f>
        <v>2500</v>
      </c>
      <c r="J143" s="403">
        <f>+I143*G143</f>
        <v>2500</v>
      </c>
      <c r="K143" s="1186">
        <f>+SUM(J143:J144)</f>
        <v>23500</v>
      </c>
      <c r="L143" s="1145">
        <f>+SUM(K143:K146)</f>
        <v>59500</v>
      </c>
    </row>
    <row r="144" spans="2:12" s="109" customFormat="1" ht="13" outlineLevel="1">
      <c r="B144" s="1179"/>
      <c r="C144" s="1180"/>
      <c r="D144" s="1180"/>
      <c r="E144" s="370" t="s">
        <v>715</v>
      </c>
      <c r="F144" s="467"/>
      <c r="G144" s="375">
        <f>+VLOOKUP($E144,Supermarket!$E$10:$G$193,3,FALSE)</f>
        <v>300</v>
      </c>
      <c r="H144" s="375" t="s">
        <v>360</v>
      </c>
      <c r="I144" s="585">
        <f>+VLOOKUP(E144,'Line items'!$B$3:$D$126,3,FALSE)</f>
        <v>70</v>
      </c>
      <c r="J144" s="376">
        <f>+I144*G144</f>
        <v>21000</v>
      </c>
      <c r="K144" s="1180"/>
      <c r="L144" s="1146"/>
    </row>
    <row r="145" spans="2:14" s="109" customFormat="1" ht="13" outlineLevel="1">
      <c r="B145" s="1179"/>
      <c r="C145" s="1180"/>
      <c r="D145" s="645" t="s">
        <v>449</v>
      </c>
      <c r="E145" s="374" t="s">
        <v>88</v>
      </c>
      <c r="F145" s="467"/>
      <c r="G145" s="375"/>
      <c r="H145" s="375"/>
      <c r="I145" s="585"/>
      <c r="J145" s="376"/>
      <c r="K145" s="534"/>
      <c r="L145" s="1146"/>
    </row>
    <row r="146" spans="2:14" s="109" customFormat="1" outlineLevel="1" thickBot="1">
      <c r="B146" s="1181"/>
      <c r="C146" s="1182"/>
      <c r="D146" s="650" t="s">
        <v>450</v>
      </c>
      <c r="E146" s="439" t="s">
        <v>723</v>
      </c>
      <c r="F146" s="468"/>
      <c r="G146" s="397">
        <f>+VLOOKUP($E146,Supermarket!$E$10:$G$193,3,FALSE)</f>
        <v>300</v>
      </c>
      <c r="H146" s="397" t="s">
        <v>360</v>
      </c>
      <c r="I146" s="636">
        <f>+VLOOKUP(E146,'Line items'!$B$3:$D$126,3,FALSE)</f>
        <v>120</v>
      </c>
      <c r="J146" s="398">
        <f>+I146*G146</f>
        <v>36000</v>
      </c>
      <c r="K146" s="551">
        <f>+J146</f>
        <v>36000</v>
      </c>
      <c r="L146" s="1152"/>
    </row>
    <row r="147" spans="2:14" s="109" customFormat="1" thickBot="1">
      <c r="B147" s="519">
        <v>3.2</v>
      </c>
      <c r="C147" s="1173" t="s">
        <v>43</v>
      </c>
      <c r="D147" s="1173"/>
      <c r="E147" s="1173"/>
      <c r="F147" s="520"/>
      <c r="G147" s="521"/>
      <c r="H147" s="521"/>
      <c r="I147" s="678"/>
      <c r="J147" s="522"/>
      <c r="K147" s="566"/>
      <c r="L147" s="567"/>
      <c r="N147" s="228"/>
    </row>
    <row r="148" spans="2:14" s="109" customFormat="1" ht="13" outlineLevel="1">
      <c r="B148" s="1177" t="s">
        <v>542</v>
      </c>
      <c r="C148" s="1178"/>
      <c r="D148" s="1178" t="s">
        <v>451</v>
      </c>
      <c r="E148" s="401" t="s">
        <v>325</v>
      </c>
      <c r="F148" s="469"/>
      <c r="G148" s="402"/>
      <c r="H148" s="402"/>
      <c r="I148" s="633">
        <v>0</v>
      </c>
      <c r="J148" s="403">
        <f>+I148*G148</f>
        <v>0</v>
      </c>
      <c r="K148" s="1186">
        <f>+SUM(J148:J150)</f>
        <v>21700</v>
      </c>
      <c r="L148" s="1145">
        <f>+SUM(K148:K152)</f>
        <v>57700</v>
      </c>
      <c r="N148" s="228"/>
    </row>
    <row r="149" spans="2:14" s="109" customFormat="1" ht="13" outlineLevel="1">
      <c r="B149" s="1179"/>
      <c r="C149" s="1180"/>
      <c r="D149" s="1180"/>
      <c r="E149" s="370" t="s">
        <v>715</v>
      </c>
      <c r="F149" s="467"/>
      <c r="G149" s="375">
        <f>+VLOOKUP($E149,Supermarket!$E$10:$G$193,3,FALSE)</f>
        <v>300</v>
      </c>
      <c r="H149" s="375" t="s">
        <v>360</v>
      </c>
      <c r="I149" s="585">
        <f>+VLOOKUP(E149,'Line items'!$B$3:$D$126,3,FALSE)</f>
        <v>70</v>
      </c>
      <c r="J149" s="376">
        <f>+I149*G149</f>
        <v>21000</v>
      </c>
      <c r="K149" s="1180"/>
      <c r="L149" s="1204"/>
      <c r="N149" s="228"/>
    </row>
    <row r="150" spans="2:14" s="109" customFormat="1" ht="13" outlineLevel="1">
      <c r="B150" s="1179"/>
      <c r="C150" s="1180"/>
      <c r="D150" s="1180"/>
      <c r="E150" s="374" t="s">
        <v>705</v>
      </c>
      <c r="F150" s="467"/>
      <c r="G150" s="375">
        <f>+VLOOKUP($E150,Supermarket!$E$10:$G$193,3,FALSE)</f>
        <v>1</v>
      </c>
      <c r="H150" s="375" t="s">
        <v>364</v>
      </c>
      <c r="I150" s="585">
        <f>+VLOOKUP(E150,'Line items'!$B$3:$D$126,3,FALSE)</f>
        <v>700</v>
      </c>
      <c r="J150" s="376">
        <f>+I150*G150</f>
        <v>700</v>
      </c>
      <c r="K150" s="1180"/>
      <c r="L150" s="1204"/>
      <c r="N150" s="228"/>
    </row>
    <row r="151" spans="2:14" s="109" customFormat="1" ht="13" outlineLevel="1">
      <c r="B151" s="1179"/>
      <c r="C151" s="1180"/>
      <c r="D151" s="645" t="s">
        <v>452</v>
      </c>
      <c r="E151" s="374" t="s">
        <v>88</v>
      </c>
      <c r="F151" s="467"/>
      <c r="G151" s="375"/>
      <c r="H151" s="375"/>
      <c r="I151" s="585"/>
      <c r="J151" s="376"/>
      <c r="K151" s="534"/>
      <c r="L151" s="1204"/>
      <c r="N151" s="228"/>
    </row>
    <row r="152" spans="2:14" s="109" customFormat="1" outlineLevel="1" thickBot="1">
      <c r="B152" s="1181"/>
      <c r="C152" s="1182"/>
      <c r="D152" s="650" t="s">
        <v>453</v>
      </c>
      <c r="E152" s="439" t="s">
        <v>716</v>
      </c>
      <c r="F152" s="468"/>
      <c r="G152" s="397">
        <f>+VLOOKUP($E152,Supermarket!$E$10:$G$193,3,FALSE)</f>
        <v>300</v>
      </c>
      <c r="H152" s="397" t="s">
        <v>360</v>
      </c>
      <c r="I152" s="636">
        <f>+VLOOKUP(E152,'Line items'!$B$3:$D$126,3,FALSE)</f>
        <v>120</v>
      </c>
      <c r="J152" s="398">
        <f>+I152*G152</f>
        <v>36000</v>
      </c>
      <c r="K152" s="551">
        <f>+J152</f>
        <v>36000</v>
      </c>
      <c r="L152" s="1205"/>
      <c r="N152" s="228"/>
    </row>
    <row r="153" spans="2:14" s="109" customFormat="1" ht="13" outlineLevel="1">
      <c r="B153" s="1177" t="s">
        <v>543</v>
      </c>
      <c r="C153" s="1178"/>
      <c r="D153" s="1178" t="s">
        <v>454</v>
      </c>
      <c r="E153" s="401" t="s">
        <v>325</v>
      </c>
      <c r="F153" s="469"/>
      <c r="G153" s="402"/>
      <c r="H153" s="402"/>
      <c r="I153" s="633">
        <v>0</v>
      </c>
      <c r="J153" s="403">
        <f>+I153*G153</f>
        <v>0</v>
      </c>
      <c r="K153" s="1186">
        <f>+SUM(J153:J154)</f>
        <v>700</v>
      </c>
      <c r="L153" s="1145">
        <f>+SUM(K153:K156)</f>
        <v>41700</v>
      </c>
      <c r="N153" s="228"/>
    </row>
    <row r="154" spans="2:14" s="109" customFormat="1" ht="13" outlineLevel="1">
      <c r="B154" s="1179"/>
      <c r="C154" s="1180"/>
      <c r="D154" s="1180"/>
      <c r="E154" s="374" t="s">
        <v>705</v>
      </c>
      <c r="F154" s="467"/>
      <c r="G154" s="375">
        <f>+VLOOKUP($E154,Supermarket!$E$10:$G$193,3,FALSE)</f>
        <v>1</v>
      </c>
      <c r="H154" s="375" t="s">
        <v>364</v>
      </c>
      <c r="I154" s="585">
        <f>+VLOOKUP(E154,'Line items'!$B$3:$D$126,3,FALSE)</f>
        <v>700</v>
      </c>
      <c r="J154" s="376">
        <f>+I154*G154</f>
        <v>700</v>
      </c>
      <c r="K154" s="1180"/>
      <c r="L154" s="1204"/>
      <c r="N154" s="228"/>
    </row>
    <row r="155" spans="2:14" s="109" customFormat="1" ht="13" outlineLevel="1">
      <c r="B155" s="1179"/>
      <c r="C155" s="1180"/>
      <c r="D155" s="645" t="s">
        <v>455</v>
      </c>
      <c r="E155" s="374" t="s">
        <v>717</v>
      </c>
      <c r="F155" s="467"/>
      <c r="G155" s="375">
        <f>+VLOOKUP($E155,Supermarket!$E$10:$G$193,3,FALSE)</f>
        <v>1</v>
      </c>
      <c r="H155" s="375" t="s">
        <v>364</v>
      </c>
      <c r="I155" s="585">
        <f>+VLOOKUP(E155,'Line items'!$B$3:$D$126,3,FALSE)</f>
        <v>5000</v>
      </c>
      <c r="J155" s="376">
        <f>+I155*G155</f>
        <v>5000</v>
      </c>
      <c r="K155" s="534">
        <f>+J155</f>
        <v>5000</v>
      </c>
      <c r="L155" s="1204"/>
      <c r="N155" s="228"/>
    </row>
    <row r="156" spans="2:14" s="109" customFormat="1" outlineLevel="1" thickBot="1">
      <c r="B156" s="1181"/>
      <c r="C156" s="1182"/>
      <c r="D156" s="650" t="s">
        <v>456</v>
      </c>
      <c r="E156" s="439" t="s">
        <v>716</v>
      </c>
      <c r="F156" s="468"/>
      <c r="G156" s="397">
        <f>+VLOOKUP($E156,Supermarket!$E$10:$G$193,3,FALSE)</f>
        <v>300</v>
      </c>
      <c r="H156" s="397" t="s">
        <v>360</v>
      </c>
      <c r="I156" s="636">
        <f>+VLOOKUP(E156,'Line items'!$B$3:$D$126,3,FALSE)</f>
        <v>120</v>
      </c>
      <c r="J156" s="398">
        <f>+I156*G156</f>
        <v>36000</v>
      </c>
      <c r="K156" s="551">
        <f t="shared" ref="K156:K159" si="4">+J156</f>
        <v>36000</v>
      </c>
      <c r="L156" s="1205"/>
      <c r="N156" s="228"/>
    </row>
    <row r="157" spans="2:14" s="109" customFormat="1" ht="13" outlineLevel="1">
      <c r="B157" s="1177" t="s">
        <v>544</v>
      </c>
      <c r="C157" s="1178"/>
      <c r="D157" s="649" t="s">
        <v>457</v>
      </c>
      <c r="E157" s="401" t="s">
        <v>88</v>
      </c>
      <c r="F157" s="469"/>
      <c r="G157" s="402"/>
      <c r="H157" s="402"/>
      <c r="I157" s="633"/>
      <c r="J157" s="403"/>
      <c r="K157" s="557"/>
      <c r="L157" s="1145">
        <f>+SUM(K157:K159)</f>
        <v>2000</v>
      </c>
      <c r="N157" s="228"/>
    </row>
    <row r="158" spans="2:14" s="109" customFormat="1" ht="13" outlineLevel="1">
      <c r="B158" s="1179"/>
      <c r="C158" s="1180"/>
      <c r="D158" s="645" t="s">
        <v>458</v>
      </c>
      <c r="E158" s="374" t="s">
        <v>88</v>
      </c>
      <c r="F158" s="467"/>
      <c r="G158" s="375">
        <v>1</v>
      </c>
      <c r="H158" s="375" t="s">
        <v>358</v>
      </c>
      <c r="I158" s="585"/>
      <c r="J158" s="376"/>
      <c r="K158" s="534"/>
      <c r="L158" s="1204"/>
      <c r="N158" s="228"/>
    </row>
    <row r="159" spans="2:14" s="109" customFormat="1" outlineLevel="1" thickBot="1">
      <c r="B159" s="1181"/>
      <c r="C159" s="1182"/>
      <c r="D159" s="650" t="s">
        <v>459</v>
      </c>
      <c r="E159" s="396" t="s">
        <v>326</v>
      </c>
      <c r="F159" s="468"/>
      <c r="G159" s="397">
        <f>+VLOOKUP($E159,Supermarket!$E$10:$G$193,3,FALSE)</f>
        <v>1</v>
      </c>
      <c r="H159" s="397" t="s">
        <v>358</v>
      </c>
      <c r="I159" s="636">
        <f>+VLOOKUP(E159,'Line items'!$B$3:$D$126,3,FALSE)</f>
        <v>2000</v>
      </c>
      <c r="J159" s="398">
        <f>+I159*G159</f>
        <v>2000</v>
      </c>
      <c r="K159" s="551">
        <f t="shared" si="4"/>
        <v>2000</v>
      </c>
      <c r="L159" s="1205"/>
      <c r="N159" s="228"/>
    </row>
    <row r="160" spans="2:14" s="109" customFormat="1" thickBot="1">
      <c r="B160" s="519">
        <v>3.3</v>
      </c>
      <c r="C160" s="1173" t="s">
        <v>44</v>
      </c>
      <c r="D160" s="1173"/>
      <c r="E160" s="1173"/>
      <c r="F160" s="520"/>
      <c r="G160" s="521"/>
      <c r="H160" s="521"/>
      <c r="I160" s="678"/>
      <c r="J160" s="522"/>
      <c r="K160" s="566"/>
      <c r="L160" s="567"/>
      <c r="N160" s="228"/>
    </row>
    <row r="161" spans="2:14" s="109" customFormat="1" ht="13" outlineLevel="1">
      <c r="B161" s="1162" t="s">
        <v>545</v>
      </c>
      <c r="C161" s="1163"/>
      <c r="D161" s="1178" t="s">
        <v>460</v>
      </c>
      <c r="E161" s="679" t="s">
        <v>327</v>
      </c>
      <c r="F161" s="680"/>
      <c r="G161" s="681">
        <f>+VLOOKUP($E161,Supermarket!$E$10:$G$193,3,FALSE)</f>
        <v>0</v>
      </c>
      <c r="H161" s="681">
        <v>0</v>
      </c>
      <c r="I161" s="682">
        <v>0</v>
      </c>
      <c r="J161" s="683">
        <f>+I161*G161</f>
        <v>0</v>
      </c>
      <c r="K161" s="1224">
        <f>+SUM(J161:J163)</f>
        <v>0</v>
      </c>
      <c r="L161" s="1151">
        <f>+SUM(K161:K165)</f>
        <v>0</v>
      </c>
      <c r="N161" s="228"/>
    </row>
    <row r="162" spans="2:14" s="109" customFormat="1" ht="13" outlineLevel="1">
      <c r="B162" s="1164"/>
      <c r="C162" s="1160"/>
      <c r="D162" s="1180"/>
      <c r="E162" s="674" t="s">
        <v>328</v>
      </c>
      <c r="F162" s="675"/>
      <c r="G162" s="592">
        <f>+VLOOKUP($E162,Supermarket!$E$10:$G$193,3,FALSE)</f>
        <v>0</v>
      </c>
      <c r="H162" s="592">
        <v>0</v>
      </c>
      <c r="I162" s="676">
        <v>0</v>
      </c>
      <c r="J162" s="677">
        <f>+I162*G162</f>
        <v>0</v>
      </c>
      <c r="K162" s="1191"/>
      <c r="L162" s="1202"/>
      <c r="N162" s="228"/>
    </row>
    <row r="163" spans="2:14" s="109" customFormat="1" ht="13" outlineLevel="1">
      <c r="B163" s="1164"/>
      <c r="C163" s="1160"/>
      <c r="D163" s="1180"/>
      <c r="E163" s="674" t="s">
        <v>329</v>
      </c>
      <c r="F163" s="675"/>
      <c r="G163" s="592">
        <f>+VLOOKUP($E163,Supermarket!$E$10:$G$193,3,FALSE)</f>
        <v>0</v>
      </c>
      <c r="H163" s="592">
        <v>0</v>
      </c>
      <c r="I163" s="676">
        <v>0</v>
      </c>
      <c r="J163" s="677">
        <f>+I163*G163</f>
        <v>0</v>
      </c>
      <c r="K163" s="1191"/>
      <c r="L163" s="1202"/>
      <c r="N163" s="228"/>
    </row>
    <row r="164" spans="2:14" s="109" customFormat="1" ht="13" outlineLevel="1">
      <c r="B164" s="1164"/>
      <c r="C164" s="1160"/>
      <c r="D164" s="620" t="s">
        <v>461</v>
      </c>
      <c r="E164" s="374" t="s">
        <v>88</v>
      </c>
      <c r="F164" s="467"/>
      <c r="G164" s="375"/>
      <c r="H164" s="375"/>
      <c r="I164" s="585"/>
      <c r="J164" s="376"/>
      <c r="K164" s="534"/>
      <c r="L164" s="1202"/>
      <c r="N164" s="228"/>
    </row>
    <row r="165" spans="2:14" s="109" customFormat="1" outlineLevel="1" thickBot="1">
      <c r="B165" s="1165"/>
      <c r="C165" s="1166"/>
      <c r="D165" s="631" t="s">
        <v>462</v>
      </c>
      <c r="E165" s="396" t="s">
        <v>202</v>
      </c>
      <c r="F165" s="468"/>
      <c r="G165" s="397">
        <f>+VLOOKUP($E165,Supermarket!$E$10:$G$193,3,FALSE)</f>
        <v>0</v>
      </c>
      <c r="H165" s="397">
        <v>0</v>
      </c>
      <c r="I165" s="636">
        <v>0</v>
      </c>
      <c r="J165" s="398">
        <f>+I165*G165</f>
        <v>0</v>
      </c>
      <c r="K165" s="551">
        <f>+J165</f>
        <v>0</v>
      </c>
      <c r="L165" s="1203"/>
      <c r="N165" s="228"/>
    </row>
    <row r="166" spans="2:14" s="109" customFormat="1" ht="13" outlineLevel="1">
      <c r="B166" s="1177" t="s">
        <v>546</v>
      </c>
      <c r="C166" s="1178"/>
      <c r="D166" s="1178" t="s">
        <v>463</v>
      </c>
      <c r="E166" s="401" t="s">
        <v>718</v>
      </c>
      <c r="F166" s="469"/>
      <c r="G166" s="402">
        <f>+VLOOKUP($E166,Supermarket!$E$10:$G$193,3,FALSE)</f>
        <v>300</v>
      </c>
      <c r="H166" s="402" t="s">
        <v>360</v>
      </c>
      <c r="I166" s="633">
        <f>+VLOOKUP(E166,'Line items'!$B$3:$D$126,3,FALSE)</f>
        <v>10</v>
      </c>
      <c r="J166" s="403">
        <f>+I166*G166</f>
        <v>3000</v>
      </c>
      <c r="K166" s="1186">
        <f>+SUM(J166:J167)</f>
        <v>4040</v>
      </c>
      <c r="L166" s="1145">
        <f>+SUM(K166:K169)</f>
        <v>5080</v>
      </c>
      <c r="M166" s="111"/>
      <c r="N166" s="228"/>
    </row>
    <row r="167" spans="2:14" s="109" customFormat="1" ht="13" outlineLevel="1">
      <c r="B167" s="1179"/>
      <c r="C167" s="1180"/>
      <c r="D167" s="1180"/>
      <c r="E167" s="374" t="s">
        <v>330</v>
      </c>
      <c r="F167" s="467"/>
      <c r="G167" s="375">
        <f>+VLOOKUP($E167,Supermarket!$E$10:$G$193,3,FALSE)</f>
        <v>8</v>
      </c>
      <c r="H167" s="375" t="s">
        <v>358</v>
      </c>
      <c r="I167" s="585">
        <f>+VLOOKUP(E167,'Line items'!$B$3:$D$126,3,FALSE)</f>
        <v>130</v>
      </c>
      <c r="J167" s="376">
        <f>+I167*G167</f>
        <v>1040</v>
      </c>
      <c r="K167" s="1180"/>
      <c r="L167" s="1204"/>
      <c r="N167" s="228"/>
    </row>
    <row r="168" spans="2:14" s="109" customFormat="1" ht="13" outlineLevel="1">
      <c r="B168" s="1179"/>
      <c r="C168" s="1180"/>
      <c r="D168" s="645" t="s">
        <v>464</v>
      </c>
      <c r="E168" s="374" t="s">
        <v>88</v>
      </c>
      <c r="F168" s="467"/>
      <c r="G168" s="375"/>
      <c r="H168" s="375"/>
      <c r="I168" s="585"/>
      <c r="J168" s="376"/>
      <c r="K168" s="534"/>
      <c r="L168" s="1204"/>
    </row>
    <row r="169" spans="2:14" s="109" customFormat="1" outlineLevel="1" thickBot="1">
      <c r="B169" s="1181"/>
      <c r="C169" s="1182"/>
      <c r="D169" s="650" t="s">
        <v>465</v>
      </c>
      <c r="E169" s="643" t="s">
        <v>330</v>
      </c>
      <c r="F169" s="468"/>
      <c r="G169" s="397">
        <f>+VLOOKUP($E169,Supermarket!$E$10:$G$193,3,FALSE)</f>
        <v>8</v>
      </c>
      <c r="H169" s="397" t="s">
        <v>364</v>
      </c>
      <c r="I169" s="636">
        <f>+VLOOKUP(E169,'Line items'!$B$3:$D$126,3,FALSE)</f>
        <v>130</v>
      </c>
      <c r="J169" s="398">
        <f>+I169*G169</f>
        <v>1040</v>
      </c>
      <c r="K169" s="551">
        <f t="shared" ref="K169" si="5">+J169</f>
        <v>1040</v>
      </c>
      <c r="L169" s="1205"/>
    </row>
    <row r="170" spans="2:14" s="109" customFormat="1" ht="13" outlineLevel="1">
      <c r="B170" s="1177" t="s">
        <v>547</v>
      </c>
      <c r="C170" s="1178"/>
      <c r="D170" s="1178" t="s">
        <v>466</v>
      </c>
      <c r="E170" s="401" t="s">
        <v>331</v>
      </c>
      <c r="F170" s="469"/>
      <c r="G170" s="402"/>
      <c r="H170" s="402"/>
      <c r="I170" s="633"/>
      <c r="J170" s="403"/>
      <c r="K170" s="1186">
        <f>+SUM(J170:J172)</f>
        <v>4040</v>
      </c>
      <c r="L170" s="1145">
        <f>+SUM(K170:K174)</f>
        <v>5080</v>
      </c>
    </row>
    <row r="171" spans="2:14" s="109" customFormat="1" ht="13" outlineLevel="1">
      <c r="B171" s="1179"/>
      <c r="C171" s="1180"/>
      <c r="D171" s="1180"/>
      <c r="E171" s="374" t="s">
        <v>718</v>
      </c>
      <c r="F171" s="467"/>
      <c r="G171" s="375">
        <f>+VLOOKUP($E171,Supermarket!$E$10:$G$193,3,FALSE)</f>
        <v>300</v>
      </c>
      <c r="H171" s="375" t="s">
        <v>360</v>
      </c>
      <c r="I171" s="585">
        <f>+VLOOKUP(E171,'Line items'!$B$3:$D$126,3,FALSE)</f>
        <v>10</v>
      </c>
      <c r="J171" s="376">
        <f>+I171*G171</f>
        <v>3000</v>
      </c>
      <c r="K171" s="1180"/>
      <c r="L171" s="1204"/>
    </row>
    <row r="172" spans="2:14" s="109" customFormat="1" ht="13" outlineLevel="1">
      <c r="B172" s="1179"/>
      <c r="C172" s="1180"/>
      <c r="D172" s="1180"/>
      <c r="E172" s="374" t="s">
        <v>330</v>
      </c>
      <c r="F172" s="467"/>
      <c r="G172" s="375">
        <f>+VLOOKUP($E172,Supermarket!$E$10:$G$193,3,FALSE)</f>
        <v>8</v>
      </c>
      <c r="H172" s="375" t="s">
        <v>358</v>
      </c>
      <c r="I172" s="585">
        <f>+VLOOKUP(E172,'Line items'!$B$3:$D$126,3,FALSE)</f>
        <v>130</v>
      </c>
      <c r="J172" s="376">
        <f>+I172*G172</f>
        <v>1040</v>
      </c>
      <c r="K172" s="1180"/>
      <c r="L172" s="1204"/>
    </row>
    <row r="173" spans="2:14" s="109" customFormat="1" ht="13" outlineLevel="1">
      <c r="B173" s="1179"/>
      <c r="C173" s="1180"/>
      <c r="D173" s="645" t="s">
        <v>467</v>
      </c>
      <c r="E173" s="374" t="s">
        <v>88</v>
      </c>
      <c r="F173" s="467"/>
      <c r="G173" s="375"/>
      <c r="H173" s="375"/>
      <c r="I173" s="585"/>
      <c r="J173" s="376"/>
      <c r="K173" s="534"/>
      <c r="L173" s="1204"/>
    </row>
    <row r="174" spans="2:14" s="109" customFormat="1" outlineLevel="1" thickBot="1">
      <c r="B174" s="1181"/>
      <c r="C174" s="1182"/>
      <c r="D174" s="650" t="s">
        <v>468</v>
      </c>
      <c r="E174" s="396" t="s">
        <v>330</v>
      </c>
      <c r="F174" s="468"/>
      <c r="G174" s="397">
        <f>+VLOOKUP($E174,Supermarket!$E$10:$G$193,3,FALSE)</f>
        <v>8</v>
      </c>
      <c r="H174" s="397" t="s">
        <v>364</v>
      </c>
      <c r="I174" s="636">
        <f>+VLOOKUP(E174,'Line items'!$B$3:$D$126,3,FALSE)</f>
        <v>130</v>
      </c>
      <c r="J174" s="398">
        <f>+I174*G174</f>
        <v>1040</v>
      </c>
      <c r="K174" s="551">
        <f>+J174</f>
        <v>1040</v>
      </c>
      <c r="L174" s="1205"/>
    </row>
    <row r="175" spans="2:14" s="109" customFormat="1" thickBot="1">
      <c r="B175" s="519">
        <v>3.4</v>
      </c>
      <c r="C175" s="1173" t="s">
        <v>45</v>
      </c>
      <c r="D175" s="1173"/>
      <c r="E175" s="1173"/>
      <c r="F175" s="520"/>
      <c r="G175" s="521"/>
      <c r="H175" s="521"/>
      <c r="I175" s="678"/>
      <c r="J175" s="522"/>
      <c r="K175" s="566"/>
      <c r="L175" s="567"/>
    </row>
    <row r="176" spans="2:14" s="109" customFormat="1" ht="13" outlineLevel="1">
      <c r="B176" s="1177" t="s">
        <v>548</v>
      </c>
      <c r="C176" s="1178"/>
      <c r="D176" s="649" t="s">
        <v>469</v>
      </c>
      <c r="E176" s="401" t="s">
        <v>88</v>
      </c>
      <c r="F176" s="469"/>
      <c r="G176" s="402"/>
      <c r="H176" s="402"/>
      <c r="I176" s="633"/>
      <c r="J176" s="403"/>
      <c r="K176" s="557"/>
      <c r="L176" s="1145">
        <f>+SUM(K176:K178)</f>
        <v>0</v>
      </c>
    </row>
    <row r="177" spans="2:14" s="109" customFormat="1" ht="13" outlineLevel="1">
      <c r="B177" s="1179"/>
      <c r="C177" s="1180"/>
      <c r="D177" s="645" t="s">
        <v>470</v>
      </c>
      <c r="E177" s="374" t="s">
        <v>88</v>
      </c>
      <c r="F177" s="467"/>
      <c r="G177" s="375"/>
      <c r="H177" s="375"/>
      <c r="I177" s="585"/>
      <c r="J177" s="376"/>
      <c r="K177" s="534"/>
      <c r="L177" s="1204"/>
    </row>
    <row r="178" spans="2:14" s="109" customFormat="1" outlineLevel="1" thickBot="1">
      <c r="B178" s="1181"/>
      <c r="C178" s="1182"/>
      <c r="D178" s="650" t="s">
        <v>471</v>
      </c>
      <c r="E178" s="396" t="s">
        <v>88</v>
      </c>
      <c r="F178" s="468"/>
      <c r="G178" s="397"/>
      <c r="H178" s="397"/>
      <c r="I178" s="636"/>
      <c r="J178" s="398"/>
      <c r="K178" s="551"/>
      <c r="L178" s="1205"/>
    </row>
    <row r="179" spans="2:14" s="109" customFormat="1" ht="13" outlineLevel="1">
      <c r="B179" s="1177" t="s">
        <v>549</v>
      </c>
      <c r="C179" s="1178"/>
      <c r="D179" s="649" t="s">
        <v>472</v>
      </c>
      <c r="E179" s="401" t="s">
        <v>88</v>
      </c>
      <c r="F179" s="469"/>
      <c r="G179" s="402"/>
      <c r="H179" s="402"/>
      <c r="I179" s="633"/>
      <c r="J179" s="403"/>
      <c r="K179" s="557"/>
      <c r="L179" s="1145">
        <f>+SUM(K179:K181)</f>
        <v>0</v>
      </c>
      <c r="N179" s="228"/>
    </row>
    <row r="180" spans="2:14" s="109" customFormat="1" ht="13" outlineLevel="1">
      <c r="B180" s="1179"/>
      <c r="C180" s="1180"/>
      <c r="D180" s="645" t="s">
        <v>473</v>
      </c>
      <c r="E180" s="374" t="s">
        <v>88</v>
      </c>
      <c r="F180" s="467"/>
      <c r="G180" s="375"/>
      <c r="H180" s="375"/>
      <c r="I180" s="585"/>
      <c r="J180" s="376"/>
      <c r="K180" s="534"/>
      <c r="L180" s="1204"/>
      <c r="N180" s="228"/>
    </row>
    <row r="181" spans="2:14" s="109" customFormat="1" outlineLevel="1" thickBot="1">
      <c r="B181" s="1181"/>
      <c r="C181" s="1182"/>
      <c r="D181" s="650" t="s">
        <v>474</v>
      </c>
      <c r="E181" s="396" t="s">
        <v>88</v>
      </c>
      <c r="F181" s="468"/>
      <c r="G181" s="397"/>
      <c r="H181" s="397"/>
      <c r="I181" s="636"/>
      <c r="J181" s="398"/>
      <c r="K181" s="551"/>
      <c r="L181" s="1205"/>
      <c r="N181" s="228"/>
    </row>
    <row r="182" spans="2:14" s="109" customFormat="1" thickBot="1">
      <c r="B182" s="519">
        <v>3.5</v>
      </c>
      <c r="C182" s="1173" t="s">
        <v>46</v>
      </c>
      <c r="D182" s="1173"/>
      <c r="E182" s="1173"/>
      <c r="F182" s="520"/>
      <c r="G182" s="521"/>
      <c r="H182" s="521"/>
      <c r="I182" s="678"/>
      <c r="J182" s="522"/>
      <c r="K182" s="566"/>
      <c r="L182" s="567"/>
      <c r="N182" s="228"/>
    </row>
    <row r="183" spans="2:14" s="109" customFormat="1" ht="13" outlineLevel="1">
      <c r="B183" s="1177" t="s">
        <v>550</v>
      </c>
      <c r="C183" s="1178"/>
      <c r="D183" s="649" t="s">
        <v>475</v>
      </c>
      <c r="E183" s="401" t="s">
        <v>88</v>
      </c>
      <c r="F183" s="469"/>
      <c r="G183" s="402"/>
      <c r="H183" s="402"/>
      <c r="I183" s="633"/>
      <c r="J183" s="403"/>
      <c r="K183" s="557"/>
      <c r="L183" s="1145">
        <f>+SUM(K183:K185)</f>
        <v>0</v>
      </c>
      <c r="N183" s="228"/>
    </row>
    <row r="184" spans="2:14" s="109" customFormat="1" ht="13" outlineLevel="1">
      <c r="B184" s="1179"/>
      <c r="C184" s="1180"/>
      <c r="D184" s="645" t="s">
        <v>476</v>
      </c>
      <c r="E184" s="374" t="s">
        <v>88</v>
      </c>
      <c r="F184" s="467"/>
      <c r="G184" s="375"/>
      <c r="H184" s="375"/>
      <c r="I184" s="585"/>
      <c r="J184" s="376"/>
      <c r="K184" s="534"/>
      <c r="L184" s="1204"/>
      <c r="N184" s="228"/>
    </row>
    <row r="185" spans="2:14" s="109" customFormat="1" outlineLevel="1" thickBot="1">
      <c r="B185" s="1181"/>
      <c r="C185" s="1182"/>
      <c r="D185" s="650" t="s">
        <v>477</v>
      </c>
      <c r="E185" s="396" t="s">
        <v>88</v>
      </c>
      <c r="F185" s="468"/>
      <c r="G185" s="397"/>
      <c r="H185" s="397"/>
      <c r="I185" s="636"/>
      <c r="J185" s="398"/>
      <c r="K185" s="551"/>
      <c r="L185" s="1205"/>
      <c r="N185" s="228"/>
    </row>
    <row r="186" spans="2:14" s="109" customFormat="1" ht="13" outlineLevel="1">
      <c r="B186" s="1177" t="s">
        <v>551</v>
      </c>
      <c r="C186" s="1178"/>
      <c r="D186" s="649" t="s">
        <v>478</v>
      </c>
      <c r="E186" s="401" t="s">
        <v>88</v>
      </c>
      <c r="F186" s="469"/>
      <c r="G186" s="402"/>
      <c r="H186" s="402"/>
      <c r="I186" s="633"/>
      <c r="J186" s="403"/>
      <c r="K186" s="557"/>
      <c r="L186" s="1145">
        <f>+SUM(K186:K188)</f>
        <v>0</v>
      </c>
      <c r="M186" s="111"/>
      <c r="N186" s="228"/>
    </row>
    <row r="187" spans="2:14" s="109" customFormat="1" ht="13" outlineLevel="1">
      <c r="B187" s="1179"/>
      <c r="C187" s="1180"/>
      <c r="D187" s="645" t="s">
        <v>479</v>
      </c>
      <c r="E187" s="374" t="s">
        <v>88</v>
      </c>
      <c r="F187" s="467"/>
      <c r="G187" s="375"/>
      <c r="H187" s="375"/>
      <c r="I187" s="585"/>
      <c r="J187" s="376"/>
      <c r="K187" s="534"/>
      <c r="L187" s="1204"/>
      <c r="N187" s="228"/>
    </row>
    <row r="188" spans="2:14" s="109" customFormat="1" outlineLevel="1" thickBot="1">
      <c r="B188" s="1181"/>
      <c r="C188" s="1182"/>
      <c r="D188" s="650" t="s">
        <v>480</v>
      </c>
      <c r="E188" s="396" t="s">
        <v>88</v>
      </c>
      <c r="F188" s="468"/>
      <c r="G188" s="397"/>
      <c r="H188" s="397"/>
      <c r="I188" s="636"/>
      <c r="J188" s="398"/>
      <c r="K188" s="551"/>
      <c r="L188" s="1205"/>
      <c r="N188" s="228"/>
    </row>
    <row r="189" spans="2:14" s="109" customFormat="1" thickBot="1">
      <c r="B189" s="1215" t="s">
        <v>54</v>
      </c>
      <c r="C189" s="1216"/>
      <c r="D189" s="1216"/>
      <c r="E189" s="1216"/>
      <c r="F189" s="520"/>
      <c r="G189" s="521"/>
      <c r="H189" s="521"/>
      <c r="I189" s="678"/>
      <c r="J189" s="522"/>
      <c r="K189" s="566"/>
      <c r="L189" s="567"/>
      <c r="N189" s="228"/>
    </row>
    <row r="190" spans="2:14" s="109" customFormat="1" thickBot="1">
      <c r="B190" s="519">
        <v>3.6</v>
      </c>
      <c r="C190" s="1173" t="s">
        <v>47</v>
      </c>
      <c r="D190" s="1173"/>
      <c r="E190" s="1173"/>
      <c r="F190" s="520"/>
      <c r="G190" s="521"/>
      <c r="H190" s="521"/>
      <c r="I190" s="678"/>
      <c r="J190" s="522"/>
      <c r="K190" s="566"/>
      <c r="L190" s="567"/>
      <c r="N190" s="228"/>
    </row>
    <row r="191" spans="2:14" s="109" customFormat="1" ht="13" outlineLevel="1">
      <c r="B191" s="1177" t="s">
        <v>552</v>
      </c>
      <c r="C191" s="1178"/>
      <c r="D191" s="1178" t="s">
        <v>481</v>
      </c>
      <c r="E191" s="401" t="s">
        <v>722</v>
      </c>
      <c r="F191" s="469"/>
      <c r="G191" s="402">
        <f>+VLOOKUP($E191,Supermarket!$E$10:$G$193,3,FALSE)</f>
        <v>12000</v>
      </c>
      <c r="H191" s="402" t="s">
        <v>95</v>
      </c>
      <c r="I191" s="633">
        <f>+VLOOKUP(E191,'Line items'!$B$3:$D$126,3,FALSE)</f>
        <v>10</v>
      </c>
      <c r="J191" s="403">
        <f>+I191*G191</f>
        <v>120000</v>
      </c>
      <c r="K191" s="1186">
        <f>+SUM(J191:J192)</f>
        <v>122600</v>
      </c>
      <c r="L191" s="1145">
        <f>+SUM(K191:K194)</f>
        <v>122600</v>
      </c>
      <c r="M191" s="111"/>
      <c r="N191" s="228"/>
    </row>
    <row r="192" spans="2:14" s="109" customFormat="1" ht="13" outlineLevel="1">
      <c r="B192" s="1179"/>
      <c r="C192" s="1180"/>
      <c r="D192" s="1180"/>
      <c r="E192" s="374" t="s">
        <v>335</v>
      </c>
      <c r="F192" s="467"/>
      <c r="G192" s="375">
        <v>1</v>
      </c>
      <c r="H192" s="375" t="s">
        <v>364</v>
      </c>
      <c r="I192" s="585">
        <f>+VLOOKUP(E192,'Line items'!$B$3:$D$126,3,FALSE)</f>
        <v>2600</v>
      </c>
      <c r="J192" s="376">
        <f>+I192*G192</f>
        <v>2600</v>
      </c>
      <c r="K192" s="1180"/>
      <c r="L192" s="1146"/>
      <c r="N192" s="228"/>
    </row>
    <row r="193" spans="2:14" s="109" customFormat="1" ht="13" outlineLevel="1">
      <c r="B193" s="1179"/>
      <c r="C193" s="1180"/>
      <c r="D193" s="645" t="s">
        <v>482</v>
      </c>
      <c r="E193" s="374" t="s">
        <v>88</v>
      </c>
      <c r="F193" s="467"/>
      <c r="G193" s="375"/>
      <c r="H193" s="375"/>
      <c r="I193" s="585"/>
      <c r="J193" s="376"/>
      <c r="K193" s="534"/>
      <c r="L193" s="1146"/>
      <c r="N193" s="228"/>
    </row>
    <row r="194" spans="2:14" s="109" customFormat="1" outlineLevel="1" thickBot="1">
      <c r="B194" s="1181"/>
      <c r="C194" s="1182"/>
      <c r="D194" s="650" t="s">
        <v>483</v>
      </c>
      <c r="E194" s="396" t="s">
        <v>88</v>
      </c>
      <c r="F194" s="468"/>
      <c r="G194" s="397"/>
      <c r="H194" s="397"/>
      <c r="I194" s="636"/>
      <c r="J194" s="398"/>
      <c r="K194" s="551"/>
      <c r="L194" s="1152"/>
      <c r="N194" s="228"/>
    </row>
    <row r="195" spans="2:14" s="109" customFormat="1" thickBot="1">
      <c r="B195" s="519">
        <v>3.7</v>
      </c>
      <c r="C195" s="1173" t="s">
        <v>48</v>
      </c>
      <c r="D195" s="1173"/>
      <c r="E195" s="1173"/>
      <c r="F195" s="520"/>
      <c r="G195" s="521"/>
      <c r="H195" s="521"/>
      <c r="I195" s="678"/>
      <c r="J195" s="522"/>
      <c r="K195" s="566"/>
      <c r="L195" s="567"/>
      <c r="N195" s="228"/>
    </row>
    <row r="196" spans="2:14" s="109" customFormat="1" ht="13">
      <c r="C196" s="229"/>
      <c r="D196" s="120"/>
      <c r="F196" s="582"/>
      <c r="G196" s="120"/>
      <c r="H196" s="120"/>
      <c r="I196" s="237"/>
      <c r="J196" s="225"/>
      <c r="K196" s="236"/>
      <c r="L196" s="227"/>
      <c r="N196" s="228"/>
    </row>
    <row r="197" spans="2:14" s="109" customFormat="1" ht="13">
      <c r="C197" s="229"/>
      <c r="D197" s="120"/>
      <c r="F197" s="582"/>
      <c r="G197" s="120"/>
      <c r="H197" s="120"/>
      <c r="I197" s="237"/>
      <c r="J197" s="225"/>
      <c r="K197" s="236"/>
      <c r="L197" s="226"/>
      <c r="N197" s="228"/>
    </row>
    <row r="198" spans="2:14" s="109" customFormat="1" ht="13">
      <c r="C198" s="229"/>
      <c r="D198" s="120"/>
      <c r="F198" s="582"/>
      <c r="G198" s="120"/>
      <c r="H198" s="120"/>
      <c r="I198" s="237"/>
      <c r="J198" s="225"/>
      <c r="K198" s="236"/>
      <c r="L198" s="226"/>
      <c r="N198" s="228"/>
    </row>
    <row r="199" spans="2:14" s="109" customFormat="1" ht="13">
      <c r="C199" s="229"/>
      <c r="D199" s="120"/>
      <c r="F199" s="582"/>
      <c r="G199" s="120"/>
      <c r="H199" s="120"/>
      <c r="I199" s="237"/>
      <c r="J199" s="225"/>
      <c r="K199" s="236"/>
      <c r="L199" s="226"/>
      <c r="N199" s="228"/>
    </row>
    <row r="200" spans="2:14">
      <c r="F200" s="462"/>
      <c r="G200" s="120"/>
      <c r="H200" s="120"/>
      <c r="I200" s="237"/>
    </row>
    <row r="201" spans="2:14">
      <c r="F201" s="462"/>
      <c r="G201" s="120"/>
      <c r="H201" s="120"/>
      <c r="I201" s="237"/>
    </row>
    <row r="202" spans="2:14">
      <c r="F202" s="462"/>
      <c r="G202" s="120"/>
      <c r="H202" s="120"/>
      <c r="I202" s="237"/>
    </row>
    <row r="203" spans="2:14">
      <c r="F203" s="462"/>
      <c r="G203" s="120"/>
      <c r="H203" s="120"/>
      <c r="I203" s="237"/>
    </row>
    <row r="204" spans="2:14">
      <c r="F204" s="462"/>
      <c r="G204" s="120"/>
      <c r="H204" s="120"/>
      <c r="I204" s="237"/>
    </row>
    <row r="205" spans="2:14">
      <c r="F205" s="462"/>
      <c r="G205" s="120"/>
      <c r="H205" s="120"/>
      <c r="I205" s="237"/>
    </row>
    <row r="206" spans="2:14">
      <c r="F206" s="462"/>
      <c r="G206" s="120"/>
      <c r="H206" s="120"/>
      <c r="I206" s="237"/>
    </row>
    <row r="207" spans="2:14">
      <c r="F207" s="462"/>
      <c r="G207" s="120"/>
      <c r="H207" s="120"/>
      <c r="I207" s="237"/>
    </row>
    <row r="208" spans="2:14">
      <c r="F208" s="462"/>
      <c r="G208" s="120"/>
      <c r="H208" s="120"/>
      <c r="I208" s="237"/>
    </row>
    <row r="209" spans="6:9">
      <c r="F209" s="462"/>
      <c r="G209" s="120"/>
      <c r="H209" s="120"/>
      <c r="I209" s="237"/>
    </row>
    <row r="210" spans="6:9">
      <c r="F210" s="462"/>
      <c r="G210" s="120"/>
      <c r="H210" s="120"/>
      <c r="I210" s="237"/>
    </row>
    <row r="211" spans="6:9">
      <c r="F211" s="462"/>
      <c r="G211" s="120"/>
      <c r="H211" s="120"/>
      <c r="I211" s="237"/>
    </row>
    <row r="212" spans="6:9">
      <c r="F212" s="462"/>
      <c r="G212" s="120"/>
      <c r="H212" s="120"/>
      <c r="I212" s="237"/>
    </row>
    <row r="213" spans="6:9">
      <c r="F213" s="462"/>
      <c r="G213" s="120"/>
      <c r="H213" s="120"/>
      <c r="I213" s="237"/>
    </row>
    <row r="214" spans="6:9">
      <c r="F214" s="462"/>
      <c r="G214" s="120"/>
      <c r="H214" s="120"/>
      <c r="I214" s="237"/>
    </row>
    <row r="215" spans="6:9">
      <c r="F215" s="462"/>
      <c r="G215" s="120"/>
      <c r="H215" s="120"/>
      <c r="I215" s="237"/>
    </row>
    <row r="216" spans="6:9">
      <c r="F216" s="462"/>
      <c r="G216" s="120"/>
      <c r="H216" s="120"/>
      <c r="I216" s="237"/>
    </row>
    <row r="217" spans="6:9">
      <c r="F217" s="462"/>
      <c r="G217" s="120"/>
      <c r="H217" s="120"/>
      <c r="I217" s="237"/>
    </row>
    <row r="218" spans="6:9">
      <c r="F218" s="462"/>
      <c r="G218" s="120"/>
      <c r="H218" s="120"/>
      <c r="I218" s="237"/>
    </row>
    <row r="219" spans="6:9">
      <c r="F219" s="462"/>
      <c r="G219" s="120"/>
      <c r="H219" s="120"/>
      <c r="I219" s="237"/>
    </row>
    <row r="220" spans="6:9">
      <c r="F220" s="462"/>
      <c r="G220" s="120"/>
      <c r="H220" s="120"/>
      <c r="I220" s="237"/>
    </row>
    <row r="221" spans="6:9">
      <c r="F221" s="462"/>
      <c r="G221" s="120"/>
      <c r="H221" s="120"/>
      <c r="I221" s="237"/>
    </row>
    <row r="222" spans="6:9">
      <c r="F222" s="462"/>
    </row>
    <row r="223" spans="6:9">
      <c r="F223" s="462"/>
    </row>
    <row r="224" spans="6:9">
      <c r="F224" s="462"/>
    </row>
    <row r="225" spans="6:6">
      <c r="F225" s="462"/>
    </row>
    <row r="226" spans="6:6">
      <c r="F226" s="462"/>
    </row>
    <row r="227" spans="6:6">
      <c r="F227" s="462"/>
    </row>
    <row r="228" spans="6:6">
      <c r="F228" s="462"/>
    </row>
    <row r="229" spans="6:6">
      <c r="F229" s="462"/>
    </row>
    <row r="230" spans="6:6">
      <c r="F230" s="462"/>
    </row>
    <row r="231" spans="6:6">
      <c r="F231" s="462"/>
    </row>
    <row r="232" spans="6:6">
      <c r="F232" s="462"/>
    </row>
    <row r="233" spans="6:6">
      <c r="F233" s="462"/>
    </row>
    <row r="234" spans="6:6">
      <c r="F234" s="462"/>
    </row>
    <row r="235" spans="6:6">
      <c r="F235" s="462"/>
    </row>
    <row r="236" spans="6:6">
      <c r="F236" s="462"/>
    </row>
    <row r="237" spans="6:6">
      <c r="F237" s="462"/>
    </row>
    <row r="238" spans="6:6">
      <c r="F238" s="462"/>
    </row>
    <row r="239" spans="6:6">
      <c r="F239" s="462"/>
    </row>
    <row r="240" spans="6:6">
      <c r="F240" s="462"/>
    </row>
    <row r="241" spans="6:6">
      <c r="F241" s="462"/>
    </row>
    <row r="242" spans="6:6">
      <c r="F242" s="462"/>
    </row>
    <row r="243" spans="6:6">
      <c r="F243" s="462"/>
    </row>
    <row r="244" spans="6:6">
      <c r="F244" s="462"/>
    </row>
  </sheetData>
  <mergeCells count="153">
    <mergeCell ref="C67:L67"/>
    <mergeCell ref="K166:K167"/>
    <mergeCell ref="K170:K172"/>
    <mergeCell ref="K191:K192"/>
    <mergeCell ref="K125:K127"/>
    <mergeCell ref="K133:K135"/>
    <mergeCell ref="K138:K140"/>
    <mergeCell ref="K143:K144"/>
    <mergeCell ref="K148:K150"/>
    <mergeCell ref="K153:K154"/>
    <mergeCell ref="D148:D150"/>
    <mergeCell ref="B153:C156"/>
    <mergeCell ref="D153:D154"/>
    <mergeCell ref="B125:C129"/>
    <mergeCell ref="K70:K74"/>
    <mergeCell ref="K91:K95"/>
    <mergeCell ref="K84:K88"/>
    <mergeCell ref="K77:K81"/>
    <mergeCell ref="K161:K163"/>
    <mergeCell ref="K100:K101"/>
    <mergeCell ref="K106:K108"/>
    <mergeCell ref="K111:K113"/>
    <mergeCell ref="K119:K120"/>
    <mergeCell ref="K123:K124"/>
    <mergeCell ref="D38:D40"/>
    <mergeCell ref="D57:D59"/>
    <mergeCell ref="D60:D61"/>
    <mergeCell ref="B42:C46"/>
    <mergeCell ref="B191:C194"/>
    <mergeCell ref="D191:D192"/>
    <mergeCell ref="K10:K13"/>
    <mergeCell ref="K22:K24"/>
    <mergeCell ref="K28:K30"/>
    <mergeCell ref="K33:K34"/>
    <mergeCell ref="K38:K40"/>
    <mergeCell ref="K43:K45"/>
    <mergeCell ref="K57:K59"/>
    <mergeCell ref="K60:K61"/>
    <mergeCell ref="B157:C159"/>
    <mergeCell ref="B161:C165"/>
    <mergeCell ref="D161:D163"/>
    <mergeCell ref="B166:C169"/>
    <mergeCell ref="D166:D167"/>
    <mergeCell ref="B170:C174"/>
    <mergeCell ref="D170:D172"/>
    <mergeCell ref="B143:C146"/>
    <mergeCell ref="D143:D144"/>
    <mergeCell ref="B148:C152"/>
    <mergeCell ref="C190:E190"/>
    <mergeCell ref="C195:E195"/>
    <mergeCell ref="C63:E63"/>
    <mergeCell ref="C160:E160"/>
    <mergeCell ref="C175:E175"/>
    <mergeCell ref="C182:E182"/>
    <mergeCell ref="B189:E189"/>
    <mergeCell ref="B68:C74"/>
    <mergeCell ref="D70:D74"/>
    <mergeCell ref="B75:C81"/>
    <mergeCell ref="D77:D81"/>
    <mergeCell ref="B179:C181"/>
    <mergeCell ref="B186:C188"/>
    <mergeCell ref="B176:C178"/>
    <mergeCell ref="B183:C185"/>
    <mergeCell ref="B97:C99"/>
    <mergeCell ref="B100:C103"/>
    <mergeCell ref="D100:D101"/>
    <mergeCell ref="B111:C115"/>
    <mergeCell ref="D111:D113"/>
    <mergeCell ref="B117:C120"/>
    <mergeCell ref="D119:D120"/>
    <mergeCell ref="B121:C124"/>
    <mergeCell ref="D125:D127"/>
    <mergeCell ref="A1:D2"/>
    <mergeCell ref="A3:D3"/>
    <mergeCell ref="A4:D4"/>
    <mergeCell ref="A5:D5"/>
    <mergeCell ref="A6:D6"/>
    <mergeCell ref="E1:E2"/>
    <mergeCell ref="B10:C15"/>
    <mergeCell ref="C142:E142"/>
    <mergeCell ref="D10:D13"/>
    <mergeCell ref="B16:C18"/>
    <mergeCell ref="D43:D45"/>
    <mergeCell ref="B131:C135"/>
    <mergeCell ref="D133:D135"/>
    <mergeCell ref="B136:C140"/>
    <mergeCell ref="D138:D140"/>
    <mergeCell ref="B47:C47"/>
    <mergeCell ref="B19:C21"/>
    <mergeCell ref="B22:C26"/>
    <mergeCell ref="D22:D24"/>
    <mergeCell ref="B106:C110"/>
    <mergeCell ref="D106:D108"/>
    <mergeCell ref="B82:C88"/>
    <mergeCell ref="D84:D88"/>
    <mergeCell ref="B89:C95"/>
    <mergeCell ref="L10:L15"/>
    <mergeCell ref="L16:L18"/>
    <mergeCell ref="L53:L55"/>
    <mergeCell ref="C147:E147"/>
    <mergeCell ref="C96:E96"/>
    <mergeCell ref="C105:E105"/>
    <mergeCell ref="C116:E116"/>
    <mergeCell ref="C130:E130"/>
    <mergeCell ref="C27:E27"/>
    <mergeCell ref="C48:E48"/>
    <mergeCell ref="C52:E52"/>
    <mergeCell ref="C56:E56"/>
    <mergeCell ref="B49:C51"/>
    <mergeCell ref="B53:C55"/>
    <mergeCell ref="B64:C66"/>
    <mergeCell ref="B57:C62"/>
    <mergeCell ref="D123:D124"/>
    <mergeCell ref="D91:D95"/>
    <mergeCell ref="B28:C32"/>
    <mergeCell ref="D28:D30"/>
    <mergeCell ref="B33:C36"/>
    <mergeCell ref="D33:D34"/>
    <mergeCell ref="B37:C41"/>
    <mergeCell ref="L131:L135"/>
    <mergeCell ref="L136:L140"/>
    <mergeCell ref="L143:L146"/>
    <mergeCell ref="L148:L152"/>
    <mergeCell ref="L68:L74"/>
    <mergeCell ref="L75:L81"/>
    <mergeCell ref="L82:L88"/>
    <mergeCell ref="L89:L95"/>
    <mergeCell ref="L97:L99"/>
    <mergeCell ref="L100:L103"/>
    <mergeCell ref="L191:L194"/>
    <mergeCell ref="L19:L21"/>
    <mergeCell ref="L22:L26"/>
    <mergeCell ref="L28:L32"/>
    <mergeCell ref="L33:L36"/>
    <mergeCell ref="L37:L41"/>
    <mergeCell ref="L42:L46"/>
    <mergeCell ref="L49:L51"/>
    <mergeCell ref="L57:L62"/>
    <mergeCell ref="L64:L66"/>
    <mergeCell ref="L117:L120"/>
    <mergeCell ref="L153:L156"/>
    <mergeCell ref="L157:L159"/>
    <mergeCell ref="L161:L165"/>
    <mergeCell ref="L166:L169"/>
    <mergeCell ref="L170:L174"/>
    <mergeCell ref="L176:L178"/>
    <mergeCell ref="L179:L181"/>
    <mergeCell ref="L183:L185"/>
    <mergeCell ref="L186:L188"/>
    <mergeCell ref="L106:L110"/>
    <mergeCell ref="L111:L115"/>
    <mergeCell ref="L121:L124"/>
    <mergeCell ref="L125:L129"/>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9" tint="0.59999389629810485"/>
  </sheetPr>
  <dimension ref="A1:O221"/>
  <sheetViews>
    <sheetView workbookViewId="0">
      <selection sqref="A1:D2"/>
    </sheetView>
  </sheetViews>
  <sheetFormatPr baseColWidth="10" defaultColWidth="8.83203125" defaultRowHeight="14" outlineLevelRow="1" x14ac:dyDescent="0"/>
  <cols>
    <col min="4" max="4" width="8.83203125" style="246"/>
    <col min="5" max="5" width="76.83203125" bestFit="1" customWidth="1"/>
    <col min="6" max="6" width="23.6640625" bestFit="1" customWidth="1"/>
    <col min="7" max="7" width="9" style="246" bestFit="1" customWidth="1"/>
    <col min="8" max="8" width="6.1640625" style="246" bestFit="1" customWidth="1"/>
    <col min="9" max="10" width="15.6640625" style="94" customWidth="1"/>
    <col min="11" max="11" width="15.6640625" style="104" customWidth="1"/>
    <col min="12" max="12" width="20.6640625" style="104" customWidth="1"/>
    <col min="13" max="13" width="11.5" bestFit="1" customWidth="1"/>
    <col min="14" max="14" width="13.6640625" style="97" bestFit="1" customWidth="1"/>
  </cols>
  <sheetData>
    <row r="1" spans="1:14">
      <c r="A1" s="1235" t="s">
        <v>62</v>
      </c>
      <c r="B1" s="1235"/>
      <c r="C1" s="1235"/>
      <c r="D1" s="1235"/>
      <c r="E1" s="1236" t="s">
        <v>159</v>
      </c>
      <c r="F1" s="232"/>
      <c r="G1" s="245"/>
      <c r="H1" s="245"/>
      <c r="I1" s="233"/>
      <c r="J1" s="233"/>
      <c r="K1" s="234"/>
      <c r="L1" s="234"/>
    </row>
    <row r="2" spans="1:14">
      <c r="A2" s="1235"/>
      <c r="B2" s="1235"/>
      <c r="C2" s="1235"/>
      <c r="D2" s="1235"/>
      <c r="E2" s="1236"/>
      <c r="F2" s="232"/>
      <c r="G2" s="245"/>
      <c r="H2" s="245"/>
      <c r="I2" s="233"/>
      <c r="J2" s="233"/>
      <c r="K2" s="234"/>
      <c r="L2" s="234"/>
    </row>
    <row r="3" spans="1:14">
      <c r="A3" s="1187" t="s">
        <v>64</v>
      </c>
      <c r="B3" s="1187"/>
      <c r="C3" s="1187"/>
      <c r="D3" s="1187"/>
      <c r="E3" s="268">
        <v>6000</v>
      </c>
      <c r="F3" s="232"/>
      <c r="G3" s="245"/>
      <c r="H3" s="245"/>
      <c r="I3" s="233"/>
      <c r="J3" s="233"/>
      <c r="K3" s="234"/>
      <c r="L3" s="234"/>
    </row>
    <row r="4" spans="1:14">
      <c r="A4" s="1187" t="s">
        <v>359</v>
      </c>
      <c r="B4" s="1187"/>
      <c r="C4" s="1187"/>
      <c r="D4" s="1187"/>
      <c r="E4" s="261">
        <v>150</v>
      </c>
      <c r="F4" s="232"/>
      <c r="G4" s="245"/>
      <c r="H4" s="245"/>
      <c r="I4" s="233"/>
      <c r="J4" s="233"/>
      <c r="K4" s="234"/>
      <c r="L4" s="234"/>
      <c r="N4" s="250"/>
    </row>
    <row r="5" spans="1:14" ht="15" customHeight="1">
      <c r="A5" s="1187" t="s">
        <v>491</v>
      </c>
      <c r="B5" s="1187"/>
      <c r="C5" s="1187"/>
      <c r="D5" s="1187"/>
      <c r="E5" s="260">
        <v>2</v>
      </c>
      <c r="F5" s="232"/>
      <c r="G5" s="245"/>
      <c r="H5" s="245"/>
      <c r="I5" s="233"/>
      <c r="J5" s="233"/>
      <c r="K5" s="234"/>
      <c r="L5" s="234"/>
      <c r="N5" s="250"/>
    </row>
    <row r="6" spans="1:14" ht="15" thickBot="1">
      <c r="A6" s="1187" t="s">
        <v>361</v>
      </c>
      <c r="B6" s="1187"/>
      <c r="C6" s="1187"/>
      <c r="D6" s="1187"/>
      <c r="E6" s="261">
        <v>130</v>
      </c>
      <c r="F6" s="232"/>
      <c r="G6" s="245"/>
      <c r="H6" s="245"/>
      <c r="I6" s="233"/>
      <c r="J6" s="233"/>
      <c r="K6" s="234"/>
      <c r="L6" s="234"/>
      <c r="N6" s="250"/>
    </row>
    <row r="7" spans="1:14" ht="27" thickBot="1">
      <c r="A7" s="232"/>
      <c r="B7" s="232"/>
      <c r="C7" s="232"/>
      <c r="D7" s="245"/>
      <c r="E7" s="232"/>
      <c r="F7" s="586" t="s">
        <v>363</v>
      </c>
      <c r="G7" s="587" t="s">
        <v>336</v>
      </c>
      <c r="H7" s="587" t="s">
        <v>337</v>
      </c>
      <c r="I7" s="588" t="s">
        <v>365</v>
      </c>
      <c r="J7" s="588" t="s">
        <v>366</v>
      </c>
      <c r="K7" s="539" t="s">
        <v>560</v>
      </c>
      <c r="L7" s="540" t="s">
        <v>368</v>
      </c>
      <c r="N7" s="251"/>
    </row>
    <row r="8" spans="1:14" s="30" customFormat="1" thickBot="1">
      <c r="A8" s="109"/>
      <c r="B8" s="447">
        <v>1</v>
      </c>
      <c r="C8" s="448" t="s">
        <v>28</v>
      </c>
      <c r="D8" s="628"/>
      <c r="E8" s="450"/>
      <c r="F8" s="451"/>
      <c r="G8" s="451"/>
      <c r="H8" s="451"/>
      <c r="I8" s="451"/>
      <c r="J8" s="451"/>
      <c r="K8" s="452"/>
      <c r="L8" s="590"/>
      <c r="N8" s="252"/>
    </row>
    <row r="9" spans="1:14" s="30" customFormat="1" thickBot="1">
      <c r="A9" s="109"/>
      <c r="B9" s="442">
        <v>1.1000000000000001</v>
      </c>
      <c r="C9" s="454" t="s">
        <v>0</v>
      </c>
      <c r="D9" s="629"/>
      <c r="E9" s="454"/>
      <c r="F9" s="444"/>
      <c r="G9" s="444"/>
      <c r="H9" s="444"/>
      <c r="I9" s="444"/>
      <c r="J9" s="444"/>
      <c r="K9" s="445"/>
      <c r="L9" s="575"/>
      <c r="N9" s="252"/>
    </row>
    <row r="10" spans="1:14" s="30" customFormat="1" ht="13" outlineLevel="1">
      <c r="A10" s="109"/>
      <c r="B10" s="1162" t="s">
        <v>515</v>
      </c>
      <c r="C10" s="1163"/>
      <c r="D10" s="1163" t="s">
        <v>370</v>
      </c>
      <c r="E10" s="392" t="s">
        <v>352</v>
      </c>
      <c r="F10" s="465"/>
      <c r="G10" s="393">
        <v>100</v>
      </c>
      <c r="H10" s="630" t="s">
        <v>360</v>
      </c>
      <c r="I10" s="394">
        <f>+VLOOKUP(E10,'Line items'!$B$3:$D$243,3,FALSE)</f>
        <v>60</v>
      </c>
      <c r="J10" s="394">
        <f>+I10*G10</f>
        <v>6000</v>
      </c>
      <c r="K10" s="1219">
        <f>+SUM(J10:J13)</f>
        <v>68500</v>
      </c>
      <c r="L10" s="1225">
        <f>+SUM(K10:K15)</f>
        <v>92500</v>
      </c>
      <c r="N10" s="95"/>
    </row>
    <row r="11" spans="1:14" s="30" customFormat="1" ht="13" outlineLevel="1">
      <c r="A11" s="109"/>
      <c r="B11" s="1164"/>
      <c r="C11" s="1160"/>
      <c r="D11" s="1160"/>
      <c r="E11" s="370" t="s">
        <v>649</v>
      </c>
      <c r="F11" s="466"/>
      <c r="G11" s="371">
        <v>100</v>
      </c>
      <c r="H11" s="619" t="s">
        <v>360</v>
      </c>
      <c r="I11" s="372">
        <f>+VLOOKUP(E11,'Line items'!$B$3:$D$243,3,FALSE)</f>
        <v>70</v>
      </c>
      <c r="J11" s="372">
        <f>+I11*G11</f>
        <v>7000</v>
      </c>
      <c r="K11" s="1220"/>
      <c r="L11" s="1226"/>
      <c r="N11" s="95"/>
    </row>
    <row r="12" spans="1:14" s="30" customFormat="1" ht="13" outlineLevel="1">
      <c r="A12" s="109"/>
      <c r="B12" s="1164"/>
      <c r="C12" s="1160"/>
      <c r="D12" s="1160"/>
      <c r="E12" s="370" t="s">
        <v>759</v>
      </c>
      <c r="F12" s="467"/>
      <c r="G12" s="371">
        <v>240</v>
      </c>
      <c r="H12" s="371" t="s">
        <v>758</v>
      </c>
      <c r="I12" s="372">
        <f>+VLOOKUP(E12,'Line items'!$B$3:$D$102,3,FALSE)</f>
        <v>200</v>
      </c>
      <c r="J12" s="372">
        <f>+I12*G12</f>
        <v>48000</v>
      </c>
      <c r="K12" s="1220"/>
      <c r="L12" s="1226"/>
      <c r="N12" s="95"/>
    </row>
    <row r="13" spans="1:14" s="30" customFormat="1" ht="13" outlineLevel="1">
      <c r="A13" s="109"/>
      <c r="B13" s="1164"/>
      <c r="C13" s="1160"/>
      <c r="D13" s="1160"/>
      <c r="E13" s="370" t="s">
        <v>653</v>
      </c>
      <c r="F13" s="466"/>
      <c r="G13" s="371">
        <v>3</v>
      </c>
      <c r="H13" s="619" t="s">
        <v>364</v>
      </c>
      <c r="I13" s="372">
        <f>+VLOOKUP(E13,'Line items'!$B$3:$D$243,3,FALSE)</f>
        <v>2500</v>
      </c>
      <c r="J13" s="372">
        <f>+I13*G13</f>
        <v>7500</v>
      </c>
      <c r="K13" s="1220"/>
      <c r="L13" s="1226"/>
      <c r="N13" s="95"/>
    </row>
    <row r="14" spans="1:14" s="30" customFormat="1" ht="13" outlineLevel="1">
      <c r="A14" s="109"/>
      <c r="B14" s="1164"/>
      <c r="C14" s="1160"/>
      <c r="D14" s="620" t="s">
        <v>369</v>
      </c>
      <c r="E14" s="370" t="s">
        <v>557</v>
      </c>
      <c r="F14" s="466"/>
      <c r="G14" s="371">
        <f>E3/2000</f>
        <v>3</v>
      </c>
      <c r="H14" s="619" t="str">
        <f>+VLOOKUP($E14,PharmacyL!$E$10:$I$195,4,FALSE)</f>
        <v>Ea</v>
      </c>
      <c r="I14" s="372">
        <f>+VLOOKUP(E14,'Line items'!$B$3:$D$243,3,FALSE)</f>
        <v>8000</v>
      </c>
      <c r="J14" s="372">
        <f>+I14*G14</f>
        <v>24000</v>
      </c>
      <c r="K14" s="533">
        <f>+J14</f>
        <v>24000</v>
      </c>
      <c r="L14" s="1226"/>
      <c r="N14" s="95"/>
    </row>
    <row r="15" spans="1:14" s="30" customFormat="1" outlineLevel="1" thickBot="1">
      <c r="A15" s="109"/>
      <c r="B15" s="1165"/>
      <c r="C15" s="1166"/>
      <c r="D15" s="631" t="s">
        <v>371</v>
      </c>
      <c r="E15" s="396" t="s">
        <v>301</v>
      </c>
      <c r="F15" s="468"/>
      <c r="G15" s="397"/>
      <c r="H15" s="397"/>
      <c r="I15" s="398"/>
      <c r="J15" s="398"/>
      <c r="K15" s="548"/>
      <c r="L15" s="1227"/>
      <c r="N15" s="95"/>
    </row>
    <row r="16" spans="1:14" s="30" customFormat="1" ht="13" outlineLevel="1">
      <c r="A16" s="109"/>
      <c r="B16" s="1162" t="s">
        <v>516</v>
      </c>
      <c r="C16" s="1163"/>
      <c r="D16" s="632" t="s">
        <v>380</v>
      </c>
      <c r="E16" s="401" t="s">
        <v>302</v>
      </c>
      <c r="F16" s="469"/>
      <c r="G16" s="402"/>
      <c r="H16" s="633"/>
      <c r="I16" s="403"/>
      <c r="J16" s="403"/>
      <c r="K16" s="549"/>
      <c r="L16" s="1229">
        <f>+SUM(K16:K18)</f>
        <v>0</v>
      </c>
      <c r="N16" s="95"/>
    </row>
    <row r="17" spans="1:14" s="30" customFormat="1" ht="13" outlineLevel="1">
      <c r="A17" s="109"/>
      <c r="B17" s="1164"/>
      <c r="C17" s="1160"/>
      <c r="D17" s="620" t="s">
        <v>373</v>
      </c>
      <c r="E17" s="374" t="s">
        <v>88</v>
      </c>
      <c r="F17" s="467"/>
      <c r="G17" s="375"/>
      <c r="H17" s="375"/>
      <c r="I17" s="376"/>
      <c r="J17" s="376"/>
      <c r="K17" s="532"/>
      <c r="L17" s="1230"/>
      <c r="M17" s="101"/>
      <c r="N17" s="95"/>
    </row>
    <row r="18" spans="1:14" s="30" customFormat="1" outlineLevel="1" thickBot="1">
      <c r="A18" s="109"/>
      <c r="B18" s="1165"/>
      <c r="C18" s="1166"/>
      <c r="D18" s="631" t="s">
        <v>372</v>
      </c>
      <c r="E18" s="396" t="s">
        <v>88</v>
      </c>
      <c r="F18" s="468"/>
      <c r="G18" s="397"/>
      <c r="H18" s="397"/>
      <c r="I18" s="398"/>
      <c r="J18" s="398"/>
      <c r="K18" s="548"/>
      <c r="L18" s="1231"/>
      <c r="N18" s="95"/>
    </row>
    <row r="19" spans="1:14" s="30" customFormat="1" ht="13" outlineLevel="1">
      <c r="A19" s="109"/>
      <c r="B19" s="1162" t="s">
        <v>517</v>
      </c>
      <c r="C19" s="1163"/>
      <c r="D19" s="393" t="s">
        <v>374</v>
      </c>
      <c r="E19" s="401" t="s">
        <v>88</v>
      </c>
      <c r="F19" s="469"/>
      <c r="G19" s="402"/>
      <c r="H19" s="402"/>
      <c r="I19" s="403"/>
      <c r="J19" s="403"/>
      <c r="K19" s="549"/>
      <c r="L19" s="1225">
        <f>+SUM(K19:K21)</f>
        <v>0</v>
      </c>
      <c r="M19" s="101"/>
      <c r="N19" s="95"/>
    </row>
    <row r="20" spans="1:14" s="30" customFormat="1" ht="13" outlineLevel="1">
      <c r="A20" s="109"/>
      <c r="B20" s="1164"/>
      <c r="C20" s="1160"/>
      <c r="D20" s="371" t="s">
        <v>375</v>
      </c>
      <c r="E20" s="374" t="s">
        <v>88</v>
      </c>
      <c r="F20" s="467"/>
      <c r="G20" s="375"/>
      <c r="H20" s="375"/>
      <c r="I20" s="376"/>
      <c r="J20" s="376"/>
      <c r="K20" s="532"/>
      <c r="L20" s="1226"/>
      <c r="N20" s="95"/>
    </row>
    <row r="21" spans="1:14" s="30" customFormat="1" outlineLevel="1" thickBot="1">
      <c r="A21" s="109"/>
      <c r="B21" s="1165"/>
      <c r="C21" s="1166"/>
      <c r="D21" s="440" t="s">
        <v>376</v>
      </c>
      <c r="E21" s="396" t="s">
        <v>88</v>
      </c>
      <c r="F21" s="468"/>
      <c r="G21" s="397"/>
      <c r="H21" s="397"/>
      <c r="I21" s="398"/>
      <c r="J21" s="398"/>
      <c r="K21" s="548"/>
      <c r="L21" s="1227"/>
      <c r="N21" s="95"/>
    </row>
    <row r="22" spans="1:14" s="30" customFormat="1" ht="13" outlineLevel="1">
      <c r="A22" s="109"/>
      <c r="B22" s="1162" t="s">
        <v>518</v>
      </c>
      <c r="C22" s="1163"/>
      <c r="D22" s="1163" t="s">
        <v>377</v>
      </c>
      <c r="E22" s="392" t="s">
        <v>305</v>
      </c>
      <c r="F22" s="465"/>
      <c r="G22" s="393">
        <v>1</v>
      </c>
      <c r="H22" s="630" t="str">
        <f>+VLOOKUP($E22,PharmacyL!$E$10:$I$195,4,FALSE)</f>
        <v>Ea</v>
      </c>
      <c r="I22" s="394">
        <f>+VLOOKUP(E22,'Line items'!$B$3:$D$243,3,FALSE)</f>
        <v>2500</v>
      </c>
      <c r="J22" s="394">
        <f>+I22*G22</f>
        <v>2500</v>
      </c>
      <c r="K22" s="1219">
        <f>+SUM(J22:J24)</f>
        <v>12500</v>
      </c>
      <c r="L22" s="1225">
        <f>+SUM(K22:K26)</f>
        <v>60500</v>
      </c>
      <c r="N22" s="95"/>
    </row>
    <row r="23" spans="1:14" s="30" customFormat="1" ht="13" outlineLevel="1">
      <c r="A23" s="109"/>
      <c r="B23" s="1164"/>
      <c r="C23" s="1160"/>
      <c r="D23" s="1160"/>
      <c r="E23" s="370" t="s">
        <v>306</v>
      </c>
      <c r="F23" s="466"/>
      <c r="G23" s="371">
        <v>1</v>
      </c>
      <c r="H23" s="619" t="str">
        <f>+VLOOKUP($E23,PharmacyL!$E$10:$I$195,4,FALSE)</f>
        <v>Ea</v>
      </c>
      <c r="I23" s="372">
        <f>+VLOOKUP(E23,'Line items'!$B$3:$D$243,3,FALSE)</f>
        <v>10000</v>
      </c>
      <c r="J23" s="372">
        <f>+I23*G23</f>
        <v>10000</v>
      </c>
      <c r="K23" s="1220"/>
      <c r="L23" s="1226"/>
      <c r="N23" s="95"/>
    </row>
    <row r="24" spans="1:14" s="30" customFormat="1" ht="13" outlineLevel="1">
      <c r="A24" s="109"/>
      <c r="B24" s="1164"/>
      <c r="C24" s="1160"/>
      <c r="D24" s="1160"/>
      <c r="E24" s="379" t="s">
        <v>307</v>
      </c>
      <c r="F24" s="466"/>
      <c r="G24" s="371"/>
      <c r="H24" s="619" t="str">
        <f>+VLOOKUP($E24,PharmacyL!$E$10:$I$195,4,FALSE)</f>
        <v>LF</v>
      </c>
      <c r="I24" s="372">
        <v>0</v>
      </c>
      <c r="J24" s="372">
        <f>+I24*G24</f>
        <v>0</v>
      </c>
      <c r="K24" s="1220"/>
      <c r="L24" s="1226"/>
      <c r="N24" s="95"/>
    </row>
    <row r="25" spans="1:14" s="30" customFormat="1" ht="13" outlineLevel="1">
      <c r="A25" s="109"/>
      <c r="B25" s="1164"/>
      <c r="C25" s="1160"/>
      <c r="D25" s="620" t="s">
        <v>378</v>
      </c>
      <c r="E25" s="370" t="s">
        <v>170</v>
      </c>
      <c r="F25" s="466"/>
      <c r="G25" s="371">
        <f>G12</f>
        <v>240</v>
      </c>
      <c r="H25" s="619" t="s">
        <v>758</v>
      </c>
      <c r="I25" s="372">
        <f>+VLOOKUP(E25,'Line items'!$B$3:$D$243,3,FALSE)</f>
        <v>200</v>
      </c>
      <c r="J25" s="372">
        <f>+I25*G25</f>
        <v>48000</v>
      </c>
      <c r="K25" s="533">
        <f>+J25</f>
        <v>48000</v>
      </c>
      <c r="L25" s="1226"/>
      <c r="N25" s="95"/>
    </row>
    <row r="26" spans="1:14" s="30" customFormat="1" outlineLevel="1" thickBot="1">
      <c r="A26" s="109"/>
      <c r="B26" s="1165"/>
      <c r="C26" s="1166"/>
      <c r="D26" s="631" t="s">
        <v>379</v>
      </c>
      <c r="E26" s="370" t="s">
        <v>170</v>
      </c>
      <c r="F26" s="477"/>
      <c r="G26" s="440">
        <v>0</v>
      </c>
      <c r="H26" s="634" t="s">
        <v>758</v>
      </c>
      <c r="I26" s="408">
        <f>+VLOOKUP(E26,'Line items'!$B$3:$D$243,3,FALSE)</f>
        <v>200</v>
      </c>
      <c r="J26" s="408">
        <f>+I26*G26</f>
        <v>0</v>
      </c>
      <c r="K26" s="550">
        <f>+J26</f>
        <v>0</v>
      </c>
      <c r="L26" s="1227"/>
      <c r="N26" s="95"/>
    </row>
    <row r="27" spans="1:14" s="30" customFormat="1" thickBot="1">
      <c r="A27" s="109"/>
      <c r="B27" s="442">
        <v>1.2</v>
      </c>
      <c r="C27" s="1167" t="s">
        <v>4</v>
      </c>
      <c r="D27" s="1167"/>
      <c r="E27" s="1167"/>
      <c r="F27" s="464"/>
      <c r="G27" s="444"/>
      <c r="H27" s="444"/>
      <c r="I27" s="444"/>
      <c r="J27" s="444"/>
      <c r="K27" s="445"/>
      <c r="L27" s="446"/>
      <c r="N27" s="95"/>
    </row>
    <row r="28" spans="1:14" s="30" customFormat="1" ht="13" outlineLevel="1">
      <c r="A28" s="109"/>
      <c r="B28" s="1162" t="s">
        <v>519</v>
      </c>
      <c r="C28" s="1163"/>
      <c r="D28" s="1163" t="s">
        <v>381</v>
      </c>
      <c r="E28" s="392" t="s">
        <v>655</v>
      </c>
      <c r="F28" s="465"/>
      <c r="G28" s="393">
        <v>300</v>
      </c>
      <c r="H28" s="630" t="s">
        <v>360</v>
      </c>
      <c r="I28" s="394">
        <f>+VLOOKUP(E28,'Line items'!$B$3:$D$243,3,FALSE)</f>
        <v>100</v>
      </c>
      <c r="J28" s="394">
        <f>+I28*G28</f>
        <v>30000</v>
      </c>
      <c r="K28" s="1194">
        <f>+SUM(J28:J30)</f>
        <v>100500</v>
      </c>
      <c r="L28" s="1225">
        <f>+SUM(K28:K32)</f>
        <v>100500</v>
      </c>
      <c r="N28" s="95"/>
    </row>
    <row r="29" spans="1:14" s="30" customFormat="1" ht="13" outlineLevel="1">
      <c r="A29" s="109"/>
      <c r="B29" s="1164"/>
      <c r="C29" s="1160"/>
      <c r="D29" s="1160"/>
      <c r="E29" s="370" t="s">
        <v>659</v>
      </c>
      <c r="F29" s="466"/>
      <c r="G29" s="371">
        <v>300</v>
      </c>
      <c r="H29" s="619" t="s">
        <v>360</v>
      </c>
      <c r="I29" s="372">
        <f>+VLOOKUP(E29,'Line items'!$B$3:$D$243,3,FALSE)</f>
        <v>210</v>
      </c>
      <c r="J29" s="372">
        <f>+I29*G29</f>
        <v>63000</v>
      </c>
      <c r="K29" s="1160"/>
      <c r="L29" s="1226"/>
      <c r="N29" s="95"/>
    </row>
    <row r="30" spans="1:14" s="30" customFormat="1" ht="13" outlineLevel="1">
      <c r="A30" s="109"/>
      <c r="B30" s="1164"/>
      <c r="C30" s="1160"/>
      <c r="D30" s="1160"/>
      <c r="E30" s="370" t="s">
        <v>660</v>
      </c>
      <c r="F30" s="466"/>
      <c r="G30" s="371">
        <v>3</v>
      </c>
      <c r="H30" s="619" t="s">
        <v>364</v>
      </c>
      <c r="I30" s="372">
        <f>+VLOOKUP(E30,'Line items'!$B$3:$D$243,3,FALSE)</f>
        <v>2500</v>
      </c>
      <c r="J30" s="372">
        <f>+I30*G30</f>
        <v>7500</v>
      </c>
      <c r="K30" s="1160"/>
      <c r="L30" s="1226"/>
      <c r="N30" s="95"/>
    </row>
    <row r="31" spans="1:14" s="30" customFormat="1" ht="13" outlineLevel="1">
      <c r="A31" s="109"/>
      <c r="B31" s="1164"/>
      <c r="C31" s="1160"/>
      <c r="D31" s="620" t="s">
        <v>382</v>
      </c>
      <c r="E31" s="374" t="s">
        <v>88</v>
      </c>
      <c r="F31" s="467"/>
      <c r="G31" s="375"/>
      <c r="H31" s="375"/>
      <c r="I31" s="376"/>
      <c r="J31" s="376"/>
      <c r="K31" s="534"/>
      <c r="L31" s="1226"/>
      <c r="N31" s="95"/>
    </row>
    <row r="32" spans="1:14" s="30" customFormat="1" outlineLevel="1" thickBot="1">
      <c r="A32" s="109"/>
      <c r="B32" s="1165"/>
      <c r="C32" s="1166"/>
      <c r="D32" s="631" t="s">
        <v>383</v>
      </c>
      <c r="E32" s="396" t="s">
        <v>301</v>
      </c>
      <c r="F32" s="468"/>
      <c r="G32" s="397"/>
      <c r="H32" s="397"/>
      <c r="I32" s="398"/>
      <c r="J32" s="398"/>
      <c r="K32" s="551"/>
      <c r="L32" s="1227"/>
      <c r="N32" s="95"/>
    </row>
    <row r="33" spans="1:14" s="30" customFormat="1" ht="13" outlineLevel="1">
      <c r="A33" s="109"/>
      <c r="B33" s="1162" t="s">
        <v>520</v>
      </c>
      <c r="C33" s="1163"/>
      <c r="D33" s="1163" t="s">
        <v>384</v>
      </c>
      <c r="E33" s="401" t="s">
        <v>499</v>
      </c>
      <c r="F33" s="469"/>
      <c r="G33" s="402">
        <v>300</v>
      </c>
      <c r="H33" s="633" t="s">
        <v>360</v>
      </c>
      <c r="I33" s="394">
        <f>+VLOOKUP(E33,'Line items'!$B$3:$D$243,3,FALSE)</f>
        <v>120</v>
      </c>
      <c r="J33" s="403">
        <f>+I33*G33</f>
        <v>36000</v>
      </c>
      <c r="K33" s="1186">
        <f>+SUM(J33:J34)</f>
        <v>75000</v>
      </c>
      <c r="L33" s="1225">
        <f>+SUM(K33:K36)</f>
        <v>75000</v>
      </c>
      <c r="N33" s="95"/>
    </row>
    <row r="34" spans="1:14" s="30" customFormat="1" ht="13" outlineLevel="1">
      <c r="A34" s="109"/>
      <c r="B34" s="1164"/>
      <c r="C34" s="1160"/>
      <c r="D34" s="1160"/>
      <c r="E34" s="374" t="s">
        <v>661</v>
      </c>
      <c r="F34" s="467"/>
      <c r="G34" s="375">
        <v>300</v>
      </c>
      <c r="H34" s="585" t="s">
        <v>360</v>
      </c>
      <c r="I34" s="372">
        <f>+VLOOKUP(E34,'Line items'!$B$3:$D$243,3,FALSE)</f>
        <v>130</v>
      </c>
      <c r="J34" s="376">
        <f>+I34*G34</f>
        <v>39000</v>
      </c>
      <c r="K34" s="1180"/>
      <c r="L34" s="1226"/>
      <c r="N34" s="95"/>
    </row>
    <row r="35" spans="1:14" s="30" customFormat="1" ht="13" outlineLevel="1">
      <c r="A35" s="109"/>
      <c r="B35" s="1164"/>
      <c r="C35" s="1160"/>
      <c r="D35" s="620" t="s">
        <v>385</v>
      </c>
      <c r="E35" s="374" t="s">
        <v>88</v>
      </c>
      <c r="F35" s="467"/>
      <c r="G35" s="375"/>
      <c r="H35" s="375"/>
      <c r="I35" s="376"/>
      <c r="J35" s="376"/>
      <c r="K35" s="534"/>
      <c r="L35" s="1226"/>
      <c r="N35" s="95"/>
    </row>
    <row r="36" spans="1:14" s="30" customFormat="1" outlineLevel="1" thickBot="1">
      <c r="A36" s="109"/>
      <c r="B36" s="1165"/>
      <c r="C36" s="1166"/>
      <c r="D36" s="631" t="s">
        <v>386</v>
      </c>
      <c r="E36" s="396" t="s">
        <v>301</v>
      </c>
      <c r="F36" s="468"/>
      <c r="G36" s="397"/>
      <c r="H36" s="397"/>
      <c r="I36" s="398"/>
      <c r="J36" s="398"/>
      <c r="K36" s="551"/>
      <c r="L36" s="1227"/>
      <c r="N36" s="95"/>
    </row>
    <row r="37" spans="1:14" s="30" customFormat="1" ht="13" outlineLevel="1">
      <c r="A37" s="109"/>
      <c r="B37" s="1162" t="s">
        <v>521</v>
      </c>
      <c r="C37" s="1163"/>
      <c r="D37" s="632" t="s">
        <v>387</v>
      </c>
      <c r="E37" s="422" t="s">
        <v>308</v>
      </c>
      <c r="F37" s="469"/>
      <c r="G37" s="402">
        <f>+VLOOKUP($E37,Supermarket!$E$10:$G$193,3,FALSE)</f>
        <v>150</v>
      </c>
      <c r="H37" s="633" t="str">
        <f>+VLOOKUP($E37,PharmacyL!$E$10:$I$195,4,FALSE)</f>
        <v>LF</v>
      </c>
      <c r="I37" s="403">
        <v>0</v>
      </c>
      <c r="J37" s="403">
        <f>+I37*G37</f>
        <v>0</v>
      </c>
      <c r="K37" s="635">
        <f>+J37</f>
        <v>0</v>
      </c>
      <c r="L37" s="1225">
        <f>+SUM(K37:K41)</f>
        <v>67500</v>
      </c>
      <c r="N37" s="95"/>
    </row>
    <row r="38" spans="1:14" s="30" customFormat="1" ht="13" outlineLevel="1">
      <c r="A38" s="109"/>
      <c r="B38" s="1164"/>
      <c r="C38" s="1160"/>
      <c r="D38" s="1160" t="s">
        <v>388</v>
      </c>
      <c r="E38" s="370" t="s">
        <v>726</v>
      </c>
      <c r="F38" s="467"/>
      <c r="G38" s="375">
        <v>1</v>
      </c>
      <c r="H38" s="585" t="s">
        <v>364</v>
      </c>
      <c r="I38" s="372">
        <f>+VLOOKUP(E38,'Line items'!$B$3:$D$243,3,FALSE)</f>
        <v>30000</v>
      </c>
      <c r="J38" s="376">
        <f>+I38*G38</f>
        <v>30000</v>
      </c>
      <c r="K38" s="1193">
        <f>+SUM(J38:J40)</f>
        <v>67500</v>
      </c>
      <c r="L38" s="1226"/>
      <c r="N38" s="95"/>
    </row>
    <row r="39" spans="1:14" s="30" customFormat="1" ht="13" outlineLevel="1">
      <c r="A39" s="109"/>
      <c r="B39" s="1164"/>
      <c r="C39" s="1160"/>
      <c r="D39" s="1160"/>
      <c r="E39" s="370" t="s">
        <v>663</v>
      </c>
      <c r="F39" s="467"/>
      <c r="G39" s="375">
        <v>150</v>
      </c>
      <c r="H39" s="585" t="s">
        <v>360</v>
      </c>
      <c r="I39" s="372">
        <f>+VLOOKUP(E39,'Line items'!$B$3:$D$243,3,FALSE)</f>
        <v>210</v>
      </c>
      <c r="J39" s="376">
        <f>+I39*G39</f>
        <v>31500</v>
      </c>
      <c r="K39" s="1160"/>
      <c r="L39" s="1226"/>
      <c r="N39" s="95"/>
    </row>
    <row r="40" spans="1:14" s="30" customFormat="1" ht="13" outlineLevel="1">
      <c r="A40" s="109"/>
      <c r="B40" s="1164"/>
      <c r="C40" s="1160"/>
      <c r="D40" s="1160"/>
      <c r="E40" s="370" t="s">
        <v>309</v>
      </c>
      <c r="F40" s="467"/>
      <c r="G40" s="375">
        <f>+VLOOKUP($E40,Supermarket!$E$10:$G$193,3,FALSE)</f>
        <v>150</v>
      </c>
      <c r="H40" s="585" t="str">
        <f>+VLOOKUP($E40,PharmacyL!$E$10:$I$195,4,FALSE)</f>
        <v>LF</v>
      </c>
      <c r="I40" s="372">
        <f>+VLOOKUP(E40,'Line items'!$B$3:$D$243,3,FALSE)</f>
        <v>40</v>
      </c>
      <c r="J40" s="376">
        <f>+I40*G40</f>
        <v>6000</v>
      </c>
      <c r="K40" s="1160"/>
      <c r="L40" s="1226"/>
      <c r="N40" s="95"/>
    </row>
    <row r="41" spans="1:14" s="30" customFormat="1" outlineLevel="1" thickBot="1">
      <c r="A41" s="109"/>
      <c r="B41" s="1165"/>
      <c r="C41" s="1166"/>
      <c r="D41" s="631" t="s">
        <v>389</v>
      </c>
      <c r="E41" s="439" t="s">
        <v>301</v>
      </c>
      <c r="F41" s="468"/>
      <c r="G41" s="397"/>
      <c r="H41" s="636"/>
      <c r="I41" s="398"/>
      <c r="J41" s="398"/>
      <c r="K41" s="637"/>
      <c r="L41" s="1227"/>
      <c r="N41" s="95"/>
    </row>
    <row r="42" spans="1:14" s="30" customFormat="1" ht="13" outlineLevel="1">
      <c r="A42" s="109"/>
      <c r="B42" s="1162" t="s">
        <v>522</v>
      </c>
      <c r="C42" s="1163"/>
      <c r="D42" s="632" t="s">
        <v>390</v>
      </c>
      <c r="E42" s="422" t="s">
        <v>308</v>
      </c>
      <c r="F42" s="469"/>
      <c r="G42" s="402">
        <f>+VLOOKUP($E42,Supermarket!$E$10:$G$193,3,FALSE)</f>
        <v>150</v>
      </c>
      <c r="H42" s="633" t="str">
        <f>+VLOOKUP($E42,PharmacyL!$E$10:$I$195,4,FALSE)</f>
        <v>LF</v>
      </c>
      <c r="I42" s="403">
        <v>0</v>
      </c>
      <c r="J42" s="403">
        <f>+I42*G42</f>
        <v>0</v>
      </c>
      <c r="K42" s="635">
        <f>+J42</f>
        <v>0</v>
      </c>
      <c r="L42" s="1225">
        <f>+SUM(K42:K46)</f>
        <v>67500</v>
      </c>
      <c r="N42" s="95"/>
    </row>
    <row r="43" spans="1:14" s="30" customFormat="1" ht="13" outlineLevel="1">
      <c r="A43" s="109"/>
      <c r="B43" s="1164"/>
      <c r="C43" s="1160"/>
      <c r="D43" s="1160" t="s">
        <v>391</v>
      </c>
      <c r="E43" s="370" t="s">
        <v>726</v>
      </c>
      <c r="F43" s="466"/>
      <c r="G43" s="371">
        <v>1</v>
      </c>
      <c r="H43" s="619" t="s">
        <v>364</v>
      </c>
      <c r="I43" s="372">
        <f>+VLOOKUP(E43,'Line items'!$B$3:$D$243,3,FALSE)</f>
        <v>30000</v>
      </c>
      <c r="J43" s="372">
        <f>+I43*G43</f>
        <v>30000</v>
      </c>
      <c r="K43" s="1193">
        <f>+SUM(J43:J45)</f>
        <v>67500</v>
      </c>
      <c r="L43" s="1226"/>
      <c r="N43" s="95"/>
    </row>
    <row r="44" spans="1:14" s="30" customFormat="1" ht="13" outlineLevel="1">
      <c r="A44" s="109"/>
      <c r="B44" s="1164"/>
      <c r="C44" s="1160"/>
      <c r="D44" s="1160"/>
      <c r="E44" s="370" t="s">
        <v>663</v>
      </c>
      <c r="F44" s="472"/>
      <c r="G44" s="371">
        <v>150</v>
      </c>
      <c r="H44" s="619" t="s">
        <v>360</v>
      </c>
      <c r="I44" s="372">
        <f>+VLOOKUP(E44,'Line items'!$B$3:$D$243,3,FALSE)</f>
        <v>210</v>
      </c>
      <c r="J44" s="372">
        <f>+I44*G44</f>
        <v>31500</v>
      </c>
      <c r="K44" s="1160"/>
      <c r="L44" s="1226"/>
      <c r="N44" s="95"/>
    </row>
    <row r="45" spans="1:14" s="30" customFormat="1" ht="13" outlineLevel="1">
      <c r="A45" s="109"/>
      <c r="B45" s="1164"/>
      <c r="C45" s="1160"/>
      <c r="D45" s="1160"/>
      <c r="E45" s="370" t="s">
        <v>309</v>
      </c>
      <c r="F45" s="466"/>
      <c r="G45" s="371">
        <f>+VLOOKUP($E45,Supermarket!$E$10:$G$193,3,FALSE)</f>
        <v>150</v>
      </c>
      <c r="H45" s="619" t="str">
        <f>+VLOOKUP($E45,PharmacyL!$E$10:$I$195,4,FALSE)</f>
        <v>LF</v>
      </c>
      <c r="I45" s="372">
        <f>+VLOOKUP(E45,'Line items'!$B$3:$D$243,3,FALSE)</f>
        <v>40</v>
      </c>
      <c r="J45" s="372">
        <f>+I45*G45</f>
        <v>6000</v>
      </c>
      <c r="K45" s="1160"/>
      <c r="L45" s="1226"/>
      <c r="N45" s="95"/>
    </row>
    <row r="46" spans="1:14" s="30" customFormat="1" outlineLevel="1" thickBot="1">
      <c r="A46" s="109"/>
      <c r="B46" s="1165"/>
      <c r="C46" s="1166"/>
      <c r="D46" s="631" t="s">
        <v>392</v>
      </c>
      <c r="E46" s="396" t="s">
        <v>301</v>
      </c>
      <c r="F46" s="468"/>
      <c r="G46" s="397"/>
      <c r="H46" s="397"/>
      <c r="I46" s="398"/>
      <c r="J46" s="398"/>
      <c r="K46" s="551"/>
      <c r="L46" s="1227"/>
      <c r="N46" s="95"/>
    </row>
    <row r="47" spans="1:14" s="30" customFormat="1" outlineLevel="1" thickBot="1">
      <c r="A47" s="109"/>
      <c r="B47" s="1233" t="s">
        <v>523</v>
      </c>
      <c r="C47" s="1234"/>
      <c r="D47" s="638" t="s">
        <v>393</v>
      </c>
      <c r="E47" s="432" t="s">
        <v>88</v>
      </c>
      <c r="F47" s="473"/>
      <c r="G47" s="434"/>
      <c r="H47" s="433"/>
      <c r="I47" s="435"/>
      <c r="J47" s="435"/>
      <c r="K47" s="554"/>
      <c r="L47" s="580">
        <f>+K47</f>
        <v>0</v>
      </c>
      <c r="N47" s="95"/>
    </row>
    <row r="48" spans="1:14" s="30" customFormat="1" thickBot="1">
      <c r="A48" s="109"/>
      <c r="B48" s="442">
        <v>1.3</v>
      </c>
      <c r="C48" s="1167" t="s">
        <v>32</v>
      </c>
      <c r="D48" s="1167"/>
      <c r="E48" s="1167"/>
      <c r="F48" s="464"/>
      <c r="G48" s="444"/>
      <c r="H48" s="444"/>
      <c r="I48" s="444"/>
      <c r="J48" s="444"/>
      <c r="K48" s="445"/>
      <c r="L48" s="446"/>
      <c r="N48" s="95"/>
    </row>
    <row r="49" spans="1:15" s="30" customFormat="1" ht="13" outlineLevel="1">
      <c r="A49" s="109"/>
      <c r="B49" s="1162" t="s">
        <v>524</v>
      </c>
      <c r="C49" s="1163"/>
      <c r="D49" s="632" t="s">
        <v>396</v>
      </c>
      <c r="E49" s="438" t="s">
        <v>664</v>
      </c>
      <c r="F49" s="465"/>
      <c r="G49" s="393">
        <v>4</v>
      </c>
      <c r="H49" s="630" t="s">
        <v>364</v>
      </c>
      <c r="I49" s="394">
        <f>+VLOOKUP(E49,'Line items'!$B$3:$D$243,3,FALSE)</f>
        <v>1000</v>
      </c>
      <c r="J49" s="394">
        <f>+I49*G49</f>
        <v>4000</v>
      </c>
      <c r="K49" s="635">
        <f>+J49</f>
        <v>4000</v>
      </c>
      <c r="L49" s="1225">
        <f>+SUM(K49:K51)</f>
        <v>64000</v>
      </c>
      <c r="N49" s="95"/>
      <c r="O49" s="95"/>
    </row>
    <row r="50" spans="1:15" s="30" customFormat="1" ht="13" outlineLevel="1">
      <c r="A50" s="109"/>
      <c r="B50" s="1164"/>
      <c r="C50" s="1160"/>
      <c r="D50" s="620" t="s">
        <v>397</v>
      </c>
      <c r="E50" s="370" t="s">
        <v>665</v>
      </c>
      <c r="F50" s="466"/>
      <c r="G50" s="371">
        <v>300</v>
      </c>
      <c r="H50" s="619" t="s">
        <v>360</v>
      </c>
      <c r="I50" s="372">
        <f>+VLOOKUP(E50,'Line items'!$B$3:$D$243,3,FALSE)</f>
        <v>200</v>
      </c>
      <c r="J50" s="372">
        <f>+I50*G50</f>
        <v>60000</v>
      </c>
      <c r="K50" s="621">
        <f>+J50</f>
        <v>60000</v>
      </c>
      <c r="L50" s="1226"/>
      <c r="N50" s="95"/>
    </row>
    <row r="51" spans="1:15" s="30" customFormat="1" outlineLevel="1" thickBot="1">
      <c r="A51" s="109"/>
      <c r="B51" s="1165"/>
      <c r="C51" s="1166"/>
      <c r="D51" s="631" t="s">
        <v>398</v>
      </c>
      <c r="E51" s="439" t="s">
        <v>310</v>
      </c>
      <c r="F51" s="477" t="s">
        <v>755</v>
      </c>
      <c r="G51" s="440">
        <v>1</v>
      </c>
      <c r="H51" s="634" t="s">
        <v>364</v>
      </c>
      <c r="I51" s="408">
        <v>0</v>
      </c>
      <c r="J51" s="408">
        <f>+I51*G51</f>
        <v>0</v>
      </c>
      <c r="K51" s="637"/>
      <c r="L51" s="1227"/>
      <c r="N51" s="95"/>
    </row>
    <row r="52" spans="1:15" s="30" customFormat="1" thickBot="1">
      <c r="A52" s="109"/>
      <c r="B52" s="442">
        <v>1.4</v>
      </c>
      <c r="C52" s="1167" t="s">
        <v>14</v>
      </c>
      <c r="D52" s="1167"/>
      <c r="E52" s="1167"/>
      <c r="F52" s="464"/>
      <c r="G52" s="444"/>
      <c r="H52" s="444"/>
      <c r="I52" s="444"/>
      <c r="J52" s="444"/>
      <c r="K52" s="445"/>
      <c r="L52" s="446"/>
      <c r="N52" s="95"/>
    </row>
    <row r="53" spans="1:15" s="30" customFormat="1" ht="13" outlineLevel="1">
      <c r="A53" s="109"/>
      <c r="B53" s="1162" t="s">
        <v>525</v>
      </c>
      <c r="C53" s="1163"/>
      <c r="D53" s="632" t="s">
        <v>399</v>
      </c>
      <c r="E53" s="401" t="s">
        <v>301</v>
      </c>
      <c r="F53" s="469"/>
      <c r="G53" s="402"/>
      <c r="H53" s="402"/>
      <c r="I53" s="403"/>
      <c r="J53" s="403"/>
      <c r="K53" s="557"/>
      <c r="L53" s="1225">
        <f>+SUM(K53:K55)</f>
        <v>0</v>
      </c>
      <c r="N53" s="95"/>
    </row>
    <row r="54" spans="1:15" s="30" customFormat="1" ht="13" outlineLevel="1">
      <c r="A54" s="109"/>
      <c r="B54" s="1164"/>
      <c r="C54" s="1160"/>
      <c r="D54" s="620" t="s">
        <v>426</v>
      </c>
      <c r="E54" s="374" t="s">
        <v>301</v>
      </c>
      <c r="F54" s="467"/>
      <c r="G54" s="375"/>
      <c r="H54" s="375"/>
      <c r="I54" s="376"/>
      <c r="J54" s="376"/>
      <c r="K54" s="534"/>
      <c r="L54" s="1226"/>
      <c r="N54" s="95"/>
    </row>
    <row r="55" spans="1:15" s="30" customFormat="1" outlineLevel="1" thickBot="1">
      <c r="A55" s="109"/>
      <c r="B55" s="1165"/>
      <c r="C55" s="1166"/>
      <c r="D55" s="631" t="s">
        <v>401</v>
      </c>
      <c r="E55" s="396" t="s">
        <v>301</v>
      </c>
      <c r="F55" s="468"/>
      <c r="G55" s="397"/>
      <c r="H55" s="397"/>
      <c r="I55" s="398"/>
      <c r="J55" s="398"/>
      <c r="K55" s="551"/>
      <c r="L55" s="1227"/>
      <c r="N55" s="95"/>
    </row>
    <row r="56" spans="1:15" s="30" customFormat="1" thickBot="1">
      <c r="A56" s="109"/>
      <c r="B56" s="442">
        <v>1.5</v>
      </c>
      <c r="C56" s="1167" t="s">
        <v>16</v>
      </c>
      <c r="D56" s="1167"/>
      <c r="E56" s="1167"/>
      <c r="F56" s="464"/>
      <c r="G56" s="444"/>
      <c r="H56" s="444"/>
      <c r="I56" s="444"/>
      <c r="J56" s="444"/>
      <c r="K56" s="445"/>
      <c r="L56" s="446"/>
      <c r="N56" s="95"/>
    </row>
    <row r="57" spans="1:15" s="30" customFormat="1" ht="13" outlineLevel="1">
      <c r="A57" s="109"/>
      <c r="B57" s="1162" t="s">
        <v>526</v>
      </c>
      <c r="C57" s="1163"/>
      <c r="D57" s="1163" t="s">
        <v>402</v>
      </c>
      <c r="E57" s="392" t="s">
        <v>490</v>
      </c>
      <c r="F57" s="465"/>
      <c r="G57" s="393">
        <v>1</v>
      </c>
      <c r="H57" s="630" t="str">
        <f>+VLOOKUP($E57,PharmacyL!$E$10:$I$195,4,FALSE)</f>
        <v>Ea</v>
      </c>
      <c r="I57" s="394">
        <f>+VLOOKUP(E57,'Line items'!$B$3:$D$243,3,FALSE)</f>
        <v>5000</v>
      </c>
      <c r="J57" s="394">
        <f>+I57*G57</f>
        <v>5000</v>
      </c>
      <c r="K57" s="1194">
        <f>+SUM(J57:J59)</f>
        <v>6000</v>
      </c>
      <c r="L57" s="1225">
        <f>+SUM(K57:K62)</f>
        <v>17000</v>
      </c>
      <c r="N57" s="95"/>
    </row>
    <row r="58" spans="1:15" s="30" customFormat="1" ht="13" outlineLevel="1">
      <c r="A58" s="109"/>
      <c r="B58" s="1164"/>
      <c r="C58" s="1160"/>
      <c r="D58" s="1160"/>
      <c r="E58" s="370" t="s">
        <v>664</v>
      </c>
      <c r="F58" s="466"/>
      <c r="G58" s="371">
        <v>1</v>
      </c>
      <c r="H58" s="619" t="s">
        <v>364</v>
      </c>
      <c r="I58" s="372">
        <f>+VLOOKUP(E58,'Line items'!$B$3:$D$243,3,FALSE)</f>
        <v>1000</v>
      </c>
      <c r="J58" s="372">
        <f>+I58*G58</f>
        <v>1000</v>
      </c>
      <c r="K58" s="1160"/>
      <c r="L58" s="1226"/>
      <c r="N58" s="95"/>
    </row>
    <row r="59" spans="1:15" s="30" customFormat="1" ht="13" outlineLevel="1">
      <c r="A59" s="109"/>
      <c r="B59" s="1164"/>
      <c r="C59" s="1160"/>
      <c r="D59" s="1160"/>
      <c r="E59" s="370" t="s">
        <v>312</v>
      </c>
      <c r="F59" s="466"/>
      <c r="G59" s="371"/>
      <c r="H59" s="619"/>
      <c r="I59" s="372"/>
      <c r="J59" s="372"/>
      <c r="K59" s="1160"/>
      <c r="L59" s="1226"/>
      <c r="N59" s="95"/>
    </row>
    <row r="60" spans="1:15" s="30" customFormat="1" ht="13" outlineLevel="1">
      <c r="A60" s="109"/>
      <c r="B60" s="1164"/>
      <c r="C60" s="1160"/>
      <c r="D60" s="1160" t="s">
        <v>403</v>
      </c>
      <c r="E60" s="370" t="s">
        <v>313</v>
      </c>
      <c r="F60" s="466"/>
      <c r="G60" s="371">
        <v>30</v>
      </c>
      <c r="H60" s="619" t="str">
        <f>+VLOOKUP($E60,PharmacyL!$E$10:$I$195,4,FALSE)</f>
        <v>LF</v>
      </c>
      <c r="I60" s="372">
        <f>+VLOOKUP(E60,'Line items'!$B$3:$D$243,3,FALSE)</f>
        <v>200</v>
      </c>
      <c r="J60" s="372">
        <f>+I60*G60</f>
        <v>6000</v>
      </c>
      <c r="K60" s="1193">
        <f>+SUM(J60:J61)</f>
        <v>11000</v>
      </c>
      <c r="L60" s="1226"/>
      <c r="N60" s="95"/>
    </row>
    <row r="61" spans="1:15" s="30" customFormat="1" ht="13" outlineLevel="1">
      <c r="A61" s="109"/>
      <c r="B61" s="1164"/>
      <c r="C61" s="1160"/>
      <c r="D61" s="1160"/>
      <c r="E61" s="370" t="s">
        <v>490</v>
      </c>
      <c r="F61" s="466"/>
      <c r="G61" s="371">
        <v>1</v>
      </c>
      <c r="H61" s="619" t="str">
        <f>+VLOOKUP($E61,PharmacyL!$E$10:$I$195,4,FALSE)</f>
        <v>Ea</v>
      </c>
      <c r="I61" s="372">
        <f>+VLOOKUP(E61,'Line items'!$B$3:$D$243,3,FALSE)</f>
        <v>5000</v>
      </c>
      <c r="J61" s="372">
        <f>+I61*G61</f>
        <v>5000</v>
      </c>
      <c r="K61" s="1160"/>
      <c r="L61" s="1226"/>
      <c r="N61" s="95"/>
    </row>
    <row r="62" spans="1:15" s="30" customFormat="1" outlineLevel="1" thickBot="1">
      <c r="A62" s="109"/>
      <c r="B62" s="1165"/>
      <c r="C62" s="1166"/>
      <c r="D62" s="631" t="s">
        <v>404</v>
      </c>
      <c r="E62" s="439"/>
      <c r="F62" s="477"/>
      <c r="G62" s="440"/>
      <c r="H62" s="634"/>
      <c r="I62" s="408"/>
      <c r="J62" s="408"/>
      <c r="K62" s="637"/>
      <c r="L62" s="1227"/>
      <c r="N62" s="95"/>
    </row>
    <row r="63" spans="1:15" s="30" customFormat="1" thickBot="1">
      <c r="A63" s="109"/>
      <c r="B63" s="442">
        <v>1.6</v>
      </c>
      <c r="C63" s="1167" t="s">
        <v>18</v>
      </c>
      <c r="D63" s="1167"/>
      <c r="E63" s="1167"/>
      <c r="F63" s="464"/>
      <c r="G63" s="444"/>
      <c r="H63" s="444"/>
      <c r="I63" s="444"/>
      <c r="J63" s="444"/>
      <c r="K63" s="445"/>
      <c r="L63" s="446"/>
      <c r="N63" s="95"/>
    </row>
    <row r="64" spans="1:15" s="30" customFormat="1" ht="13" outlineLevel="1">
      <c r="A64" s="109"/>
      <c r="B64" s="1162" t="s">
        <v>527</v>
      </c>
      <c r="C64" s="1163"/>
      <c r="D64" s="632" t="s">
        <v>405</v>
      </c>
      <c r="E64" s="401" t="s">
        <v>88</v>
      </c>
      <c r="F64" s="469"/>
      <c r="G64" s="402"/>
      <c r="H64" s="402"/>
      <c r="I64" s="403"/>
      <c r="J64" s="403"/>
      <c r="K64" s="557"/>
      <c r="L64" s="1225">
        <f>+SUM(K64:K66)</f>
        <v>0</v>
      </c>
      <c r="N64" s="95"/>
    </row>
    <row r="65" spans="1:14" s="30" customFormat="1" ht="13" outlineLevel="1">
      <c r="A65" s="109"/>
      <c r="B65" s="1164"/>
      <c r="C65" s="1160"/>
      <c r="D65" s="620" t="s">
        <v>406</v>
      </c>
      <c r="E65" s="374" t="s">
        <v>88</v>
      </c>
      <c r="F65" s="467"/>
      <c r="G65" s="375"/>
      <c r="H65" s="375"/>
      <c r="I65" s="376"/>
      <c r="J65" s="376"/>
      <c r="K65" s="534"/>
      <c r="L65" s="1226"/>
      <c r="N65" s="95"/>
    </row>
    <row r="66" spans="1:14" s="30" customFormat="1" outlineLevel="1" thickBot="1">
      <c r="A66" s="109"/>
      <c r="B66" s="1165"/>
      <c r="C66" s="1166"/>
      <c r="D66" s="631" t="s">
        <v>407</v>
      </c>
      <c r="E66" s="396" t="s">
        <v>88</v>
      </c>
      <c r="F66" s="468"/>
      <c r="G66" s="397"/>
      <c r="H66" s="397"/>
      <c r="I66" s="398"/>
      <c r="J66" s="398"/>
      <c r="K66" s="551"/>
      <c r="L66" s="1227"/>
      <c r="N66" s="95"/>
    </row>
    <row r="67" spans="1:14" s="30" customFormat="1" thickBot="1">
      <c r="A67" s="109"/>
      <c r="B67" s="442">
        <v>1.7</v>
      </c>
      <c r="C67" s="1167" t="s">
        <v>33</v>
      </c>
      <c r="D67" s="1167"/>
      <c r="E67" s="1167"/>
      <c r="F67" s="464"/>
      <c r="G67" s="444"/>
      <c r="H67" s="444"/>
      <c r="I67" s="444"/>
      <c r="J67" s="444"/>
      <c r="K67" s="445"/>
      <c r="L67" s="446"/>
      <c r="N67" s="95"/>
    </row>
    <row r="68" spans="1:14" s="30" customFormat="1" ht="13" outlineLevel="1">
      <c r="A68" s="109"/>
      <c r="B68" s="1162" t="s">
        <v>528</v>
      </c>
      <c r="C68" s="1163"/>
      <c r="D68" s="632" t="s">
        <v>408</v>
      </c>
      <c r="E68" s="401" t="s">
        <v>88</v>
      </c>
      <c r="F68" s="469"/>
      <c r="G68" s="402"/>
      <c r="H68" s="402"/>
      <c r="I68" s="403"/>
      <c r="J68" s="403"/>
      <c r="K68" s="549"/>
      <c r="L68" s="1225">
        <f>+K70</f>
        <v>46250</v>
      </c>
      <c r="N68" s="95"/>
    </row>
    <row r="69" spans="1:14" s="30" customFormat="1" ht="13" outlineLevel="1">
      <c r="A69" s="109"/>
      <c r="B69" s="1164"/>
      <c r="C69" s="1160"/>
      <c r="D69" s="620" t="s">
        <v>409</v>
      </c>
      <c r="E69" s="374" t="s">
        <v>88</v>
      </c>
      <c r="F69" s="467"/>
      <c r="G69" s="375"/>
      <c r="H69" s="375"/>
      <c r="I69" s="376"/>
      <c r="J69" s="376"/>
      <c r="K69" s="532"/>
      <c r="L69" s="1226"/>
      <c r="N69" s="95"/>
    </row>
    <row r="70" spans="1:14" s="30" customFormat="1" ht="13" outlineLevel="1">
      <c r="A70" s="109"/>
      <c r="B70" s="1164"/>
      <c r="C70" s="1160"/>
      <c r="D70" s="1160" t="s">
        <v>410</v>
      </c>
      <c r="E70" s="370" t="s">
        <v>340</v>
      </c>
      <c r="F70" s="478">
        <f>2*$E$3</f>
        <v>12000</v>
      </c>
      <c r="G70" s="371"/>
      <c r="H70" s="619"/>
      <c r="I70" s="372"/>
      <c r="J70" s="372"/>
      <c r="K70" s="1220">
        <f>+J71</f>
        <v>46250</v>
      </c>
      <c r="L70" s="1226"/>
      <c r="N70" s="95"/>
    </row>
    <row r="71" spans="1:14" s="30" customFormat="1" ht="13" outlineLevel="1">
      <c r="A71" s="109"/>
      <c r="B71" s="1164"/>
      <c r="C71" s="1160"/>
      <c r="D71" s="1160"/>
      <c r="E71" s="417" t="s">
        <v>678</v>
      </c>
      <c r="F71" s="466" t="s">
        <v>497</v>
      </c>
      <c r="G71" s="371">
        <v>1</v>
      </c>
      <c r="H71" s="619" t="s">
        <v>364</v>
      </c>
      <c r="I71" s="372">
        <f>+VLOOKUP(E71,'Line items'!$B$3:$D$243,3,FALSE)</f>
        <v>46250</v>
      </c>
      <c r="J71" s="372">
        <f>+I71*G71</f>
        <v>46250</v>
      </c>
      <c r="K71" s="1220"/>
      <c r="L71" s="1226"/>
      <c r="N71" s="95"/>
    </row>
    <row r="72" spans="1:14" s="30" customFormat="1" ht="13" outlineLevel="1">
      <c r="A72" s="109"/>
      <c r="B72" s="1164"/>
      <c r="C72" s="1160"/>
      <c r="D72" s="1160"/>
      <c r="E72" s="417" t="s">
        <v>679</v>
      </c>
      <c r="F72" s="466"/>
      <c r="G72" s="371"/>
      <c r="H72" s="619" t="s">
        <v>364</v>
      </c>
      <c r="I72" s="372">
        <f>+VLOOKUP(E72,'Line items'!$B$3:$D$243,3,FALSE)</f>
        <v>40000</v>
      </c>
      <c r="J72" s="372">
        <f>+I72*G72</f>
        <v>0</v>
      </c>
      <c r="K72" s="1220"/>
      <c r="L72" s="1226"/>
      <c r="N72" s="95"/>
    </row>
    <row r="73" spans="1:14" s="30" customFormat="1" ht="13" outlineLevel="1">
      <c r="A73" s="109"/>
      <c r="B73" s="1164"/>
      <c r="C73" s="1160"/>
      <c r="D73" s="1160"/>
      <c r="E73" s="370" t="s">
        <v>680</v>
      </c>
      <c r="F73" s="466"/>
      <c r="G73" s="371"/>
      <c r="H73" s="619" t="s">
        <v>364</v>
      </c>
      <c r="I73" s="372">
        <f>+VLOOKUP(E73,'Line items'!$B$3:$D$243,3,FALSE)</f>
        <v>127500</v>
      </c>
      <c r="J73" s="372">
        <f>+I73*G73</f>
        <v>0</v>
      </c>
      <c r="K73" s="1220"/>
      <c r="L73" s="1226"/>
      <c r="N73" s="95"/>
    </row>
    <row r="74" spans="1:14" s="30" customFormat="1" outlineLevel="1" thickBot="1">
      <c r="A74" s="109"/>
      <c r="B74" s="1165"/>
      <c r="C74" s="1166"/>
      <c r="D74" s="1166"/>
      <c r="E74" s="439" t="s">
        <v>681</v>
      </c>
      <c r="F74" s="477"/>
      <c r="G74" s="440"/>
      <c r="H74" s="634" t="s">
        <v>364</v>
      </c>
      <c r="I74" s="408">
        <f>+VLOOKUP(E74,'Line items'!$B$3:$D$243,3,FALSE)</f>
        <v>127500</v>
      </c>
      <c r="J74" s="408">
        <f>+I74*G74</f>
        <v>0</v>
      </c>
      <c r="K74" s="1232"/>
      <c r="L74" s="1227"/>
      <c r="N74" s="95"/>
    </row>
    <row r="75" spans="1:14" s="30" customFormat="1" ht="13" outlineLevel="1">
      <c r="A75" s="109"/>
      <c r="B75" s="1162" t="s">
        <v>529</v>
      </c>
      <c r="C75" s="1163"/>
      <c r="D75" s="632" t="s">
        <v>411</v>
      </c>
      <c r="E75" s="401" t="s">
        <v>88</v>
      </c>
      <c r="F75" s="469"/>
      <c r="G75" s="402"/>
      <c r="H75" s="402"/>
      <c r="I75" s="403"/>
      <c r="J75" s="403"/>
      <c r="K75" s="549"/>
      <c r="L75" s="1225">
        <f>+K77</f>
        <v>46250</v>
      </c>
      <c r="N75" s="95"/>
    </row>
    <row r="76" spans="1:14" s="30" customFormat="1" ht="13" outlineLevel="1">
      <c r="A76" s="109"/>
      <c r="B76" s="1164"/>
      <c r="C76" s="1160"/>
      <c r="D76" s="620" t="s">
        <v>412</v>
      </c>
      <c r="E76" s="374" t="s">
        <v>88</v>
      </c>
      <c r="F76" s="467"/>
      <c r="G76" s="375"/>
      <c r="H76" s="375"/>
      <c r="I76" s="376"/>
      <c r="J76" s="376"/>
      <c r="K76" s="532"/>
      <c r="L76" s="1226"/>
      <c r="N76" s="95"/>
    </row>
    <row r="77" spans="1:14" s="30" customFormat="1" ht="13" outlineLevel="1">
      <c r="A77" s="109"/>
      <c r="B77" s="1164"/>
      <c r="C77" s="1160"/>
      <c r="D77" s="1160" t="s">
        <v>413</v>
      </c>
      <c r="E77" s="374" t="s">
        <v>340</v>
      </c>
      <c r="F77" s="478">
        <f>2*$E$3</f>
        <v>12000</v>
      </c>
      <c r="G77" s="375"/>
      <c r="H77" s="585"/>
      <c r="I77" s="376"/>
      <c r="J77" s="376"/>
      <c r="K77" s="1218">
        <f>+J78</f>
        <v>46250</v>
      </c>
      <c r="L77" s="1226"/>
      <c r="N77" s="95"/>
    </row>
    <row r="78" spans="1:14" s="30" customFormat="1" ht="13" outlineLevel="1">
      <c r="A78" s="109"/>
      <c r="B78" s="1164"/>
      <c r="C78" s="1160"/>
      <c r="D78" s="1160"/>
      <c r="E78" s="456" t="s">
        <v>678</v>
      </c>
      <c r="F78" s="467" t="s">
        <v>497</v>
      </c>
      <c r="G78" s="375">
        <v>1</v>
      </c>
      <c r="H78" s="619" t="s">
        <v>364</v>
      </c>
      <c r="I78" s="372">
        <f>+VLOOKUP(E78,'Line items'!$B$3:$D$243,3,FALSE)</f>
        <v>46250</v>
      </c>
      <c r="J78" s="376">
        <f>+I78*G78</f>
        <v>46250</v>
      </c>
      <c r="K78" s="1218"/>
      <c r="L78" s="1226"/>
      <c r="N78" s="95"/>
    </row>
    <row r="79" spans="1:14" s="30" customFormat="1" ht="13" outlineLevel="1">
      <c r="A79" s="109"/>
      <c r="B79" s="1164"/>
      <c r="C79" s="1160"/>
      <c r="D79" s="1160"/>
      <c r="E79" s="456" t="s">
        <v>679</v>
      </c>
      <c r="F79" s="467"/>
      <c r="G79" s="375"/>
      <c r="H79" s="619" t="s">
        <v>364</v>
      </c>
      <c r="I79" s="372">
        <f>+VLOOKUP(E79,'Line items'!$B$3:$D$243,3,FALSE)</f>
        <v>40000</v>
      </c>
      <c r="J79" s="376">
        <f>+I79*G79</f>
        <v>0</v>
      </c>
      <c r="K79" s="1218"/>
      <c r="L79" s="1226"/>
      <c r="N79" s="95"/>
    </row>
    <row r="80" spans="1:14" s="30" customFormat="1" ht="13" outlineLevel="1">
      <c r="A80" s="109"/>
      <c r="B80" s="1164"/>
      <c r="C80" s="1160"/>
      <c r="D80" s="1160"/>
      <c r="E80" s="374" t="s">
        <v>680</v>
      </c>
      <c r="F80" s="467"/>
      <c r="G80" s="375"/>
      <c r="H80" s="619" t="s">
        <v>364</v>
      </c>
      <c r="I80" s="372">
        <f>+VLOOKUP(E80,'Line items'!$B$3:$D$243,3,FALSE)</f>
        <v>127500</v>
      </c>
      <c r="J80" s="376">
        <f>+I80*G80</f>
        <v>0</v>
      </c>
      <c r="K80" s="1218"/>
      <c r="L80" s="1226"/>
      <c r="N80" s="95"/>
    </row>
    <row r="81" spans="1:14" s="30" customFormat="1" outlineLevel="1" thickBot="1">
      <c r="A81" s="109"/>
      <c r="B81" s="1165"/>
      <c r="C81" s="1166"/>
      <c r="D81" s="1166"/>
      <c r="E81" s="396" t="s">
        <v>681</v>
      </c>
      <c r="F81" s="468"/>
      <c r="G81" s="397"/>
      <c r="H81" s="634" t="s">
        <v>364</v>
      </c>
      <c r="I81" s="408">
        <f>+VLOOKUP(E81,'Line items'!$B$3:$D$243,3,FALSE)</f>
        <v>127500</v>
      </c>
      <c r="J81" s="398">
        <f>+I81*G81</f>
        <v>0</v>
      </c>
      <c r="K81" s="1223"/>
      <c r="L81" s="1227"/>
      <c r="N81" s="95"/>
    </row>
    <row r="82" spans="1:14" s="30" customFormat="1" ht="13" outlineLevel="1">
      <c r="A82" s="109"/>
      <c r="B82" s="1162" t="s">
        <v>530</v>
      </c>
      <c r="C82" s="1163"/>
      <c r="D82" s="632" t="s">
        <v>414</v>
      </c>
      <c r="E82" s="401" t="s">
        <v>88</v>
      </c>
      <c r="F82" s="469"/>
      <c r="G82" s="402"/>
      <c r="H82" s="402"/>
      <c r="I82" s="403"/>
      <c r="J82" s="403"/>
      <c r="K82" s="549"/>
      <c r="L82" s="1225">
        <f>+K84</f>
        <v>46250</v>
      </c>
      <c r="N82" s="95"/>
    </row>
    <row r="83" spans="1:14" s="30" customFormat="1" ht="13" outlineLevel="1">
      <c r="A83" s="109"/>
      <c r="B83" s="1164"/>
      <c r="C83" s="1160"/>
      <c r="D83" s="620" t="s">
        <v>415</v>
      </c>
      <c r="E83" s="374" t="s">
        <v>88</v>
      </c>
      <c r="F83" s="467"/>
      <c r="G83" s="375"/>
      <c r="H83" s="375"/>
      <c r="I83" s="376"/>
      <c r="J83" s="376"/>
      <c r="K83" s="532"/>
      <c r="L83" s="1226"/>
      <c r="N83" s="95"/>
    </row>
    <row r="84" spans="1:14" s="30" customFormat="1" ht="13" outlineLevel="1">
      <c r="A84" s="109"/>
      <c r="B84" s="1164"/>
      <c r="C84" s="1160"/>
      <c r="D84" s="1160" t="s">
        <v>416</v>
      </c>
      <c r="E84" s="374" t="s">
        <v>340</v>
      </c>
      <c r="F84" s="478">
        <f>2*$E$3</f>
        <v>12000</v>
      </c>
      <c r="G84" s="375"/>
      <c r="H84" s="375"/>
      <c r="I84" s="376"/>
      <c r="J84" s="376"/>
      <c r="K84" s="1218">
        <f>+J85</f>
        <v>46250</v>
      </c>
      <c r="L84" s="1226"/>
      <c r="N84" s="95"/>
    </row>
    <row r="85" spans="1:14" s="30" customFormat="1" ht="13" outlineLevel="1">
      <c r="A85" s="109"/>
      <c r="B85" s="1164"/>
      <c r="C85" s="1160"/>
      <c r="D85" s="1160"/>
      <c r="E85" s="456" t="s">
        <v>678</v>
      </c>
      <c r="F85" s="467" t="s">
        <v>497</v>
      </c>
      <c r="G85" s="375">
        <v>1</v>
      </c>
      <c r="H85" s="619" t="s">
        <v>364</v>
      </c>
      <c r="I85" s="372">
        <f>+VLOOKUP(E85,'Line items'!$B$3:$D$243,3,FALSE)</f>
        <v>46250</v>
      </c>
      <c r="J85" s="376">
        <f>+I85*G85</f>
        <v>46250</v>
      </c>
      <c r="K85" s="1218"/>
      <c r="L85" s="1226"/>
      <c r="N85" s="95"/>
    </row>
    <row r="86" spans="1:14" s="30" customFormat="1" ht="13" outlineLevel="1">
      <c r="A86" s="109"/>
      <c r="B86" s="1164"/>
      <c r="C86" s="1160"/>
      <c r="D86" s="1160"/>
      <c r="E86" s="456" t="s">
        <v>679</v>
      </c>
      <c r="F86" s="467"/>
      <c r="G86" s="375"/>
      <c r="H86" s="619" t="s">
        <v>364</v>
      </c>
      <c r="I86" s="372">
        <f>+VLOOKUP(E86,'Line items'!$B$3:$D$243,3,FALSE)</f>
        <v>40000</v>
      </c>
      <c r="J86" s="376">
        <f>+I86*G86</f>
        <v>0</v>
      </c>
      <c r="K86" s="1218"/>
      <c r="L86" s="1226"/>
      <c r="N86" s="95"/>
    </row>
    <row r="87" spans="1:14" s="30" customFormat="1" ht="13" outlineLevel="1">
      <c r="A87" s="109"/>
      <c r="B87" s="1164"/>
      <c r="C87" s="1160"/>
      <c r="D87" s="1160"/>
      <c r="E87" s="374" t="s">
        <v>680</v>
      </c>
      <c r="F87" s="467"/>
      <c r="G87" s="375"/>
      <c r="H87" s="619" t="s">
        <v>364</v>
      </c>
      <c r="I87" s="372">
        <f>+VLOOKUP(E87,'Line items'!$B$3:$D$243,3,FALSE)</f>
        <v>127500</v>
      </c>
      <c r="J87" s="376">
        <f>+I87*G87</f>
        <v>0</v>
      </c>
      <c r="K87" s="1218"/>
      <c r="L87" s="1226"/>
      <c r="N87" s="95"/>
    </row>
    <row r="88" spans="1:14" s="30" customFormat="1" outlineLevel="1" thickBot="1">
      <c r="A88" s="109"/>
      <c r="B88" s="1165"/>
      <c r="C88" s="1166"/>
      <c r="D88" s="1166"/>
      <c r="E88" s="396" t="s">
        <v>681</v>
      </c>
      <c r="F88" s="468"/>
      <c r="G88" s="397"/>
      <c r="H88" s="634" t="s">
        <v>364</v>
      </c>
      <c r="I88" s="408">
        <f>+VLOOKUP(E88,'Line items'!$B$3:$D$243,3,FALSE)</f>
        <v>127500</v>
      </c>
      <c r="J88" s="398">
        <f>+I88*G88</f>
        <v>0</v>
      </c>
      <c r="K88" s="1223"/>
      <c r="L88" s="1227"/>
      <c r="N88" s="95"/>
    </row>
    <row r="89" spans="1:14" s="30" customFormat="1" ht="13" outlineLevel="1">
      <c r="A89" s="109"/>
      <c r="B89" s="1162" t="s">
        <v>531</v>
      </c>
      <c r="C89" s="1163"/>
      <c r="D89" s="632" t="s">
        <v>417</v>
      </c>
      <c r="E89" s="401" t="s">
        <v>88</v>
      </c>
      <c r="F89" s="469"/>
      <c r="G89" s="402"/>
      <c r="H89" s="402"/>
      <c r="I89" s="403"/>
      <c r="J89" s="403"/>
      <c r="K89" s="549"/>
      <c r="L89" s="1225">
        <f>+K91</f>
        <v>46250</v>
      </c>
      <c r="N89" s="95"/>
    </row>
    <row r="90" spans="1:14" s="30" customFormat="1" ht="13" outlineLevel="1">
      <c r="A90" s="109"/>
      <c r="B90" s="1164"/>
      <c r="C90" s="1160"/>
      <c r="D90" s="620" t="s">
        <v>418</v>
      </c>
      <c r="E90" s="374" t="s">
        <v>88</v>
      </c>
      <c r="F90" s="467"/>
      <c r="G90" s="375"/>
      <c r="H90" s="375"/>
      <c r="I90" s="376"/>
      <c r="J90" s="376"/>
      <c r="K90" s="532"/>
      <c r="L90" s="1226"/>
      <c r="N90" s="95"/>
    </row>
    <row r="91" spans="1:14" s="30" customFormat="1" ht="13" outlineLevel="1">
      <c r="A91" s="109"/>
      <c r="B91" s="1164"/>
      <c r="C91" s="1160"/>
      <c r="D91" s="1160" t="s">
        <v>419</v>
      </c>
      <c r="E91" s="374" t="s">
        <v>340</v>
      </c>
      <c r="F91" s="478">
        <f>2*$E$3</f>
        <v>12000</v>
      </c>
      <c r="G91" s="375"/>
      <c r="H91" s="375"/>
      <c r="I91" s="376"/>
      <c r="J91" s="376"/>
      <c r="K91" s="1218">
        <f>+J92</f>
        <v>46250</v>
      </c>
      <c r="L91" s="1226"/>
      <c r="N91" s="95"/>
    </row>
    <row r="92" spans="1:14" s="30" customFormat="1" ht="13" outlineLevel="1">
      <c r="A92" s="109"/>
      <c r="B92" s="1164"/>
      <c r="C92" s="1160"/>
      <c r="D92" s="1160"/>
      <c r="E92" s="456" t="s">
        <v>678</v>
      </c>
      <c r="F92" s="467" t="s">
        <v>497</v>
      </c>
      <c r="G92" s="375">
        <v>1</v>
      </c>
      <c r="H92" s="619" t="s">
        <v>364</v>
      </c>
      <c r="I92" s="372">
        <f>+VLOOKUP(E92,'Line items'!$B$3:$D$243,3,FALSE)</f>
        <v>46250</v>
      </c>
      <c r="J92" s="376">
        <f>+I92*G92</f>
        <v>46250</v>
      </c>
      <c r="K92" s="1218"/>
      <c r="L92" s="1226"/>
      <c r="N92" s="95"/>
    </row>
    <row r="93" spans="1:14" s="30" customFormat="1" ht="13" outlineLevel="1">
      <c r="A93" s="109"/>
      <c r="B93" s="1164"/>
      <c r="C93" s="1160"/>
      <c r="D93" s="1160"/>
      <c r="E93" s="456" t="s">
        <v>679</v>
      </c>
      <c r="F93" s="467"/>
      <c r="G93" s="375"/>
      <c r="H93" s="619" t="s">
        <v>364</v>
      </c>
      <c r="I93" s="372">
        <f>+VLOOKUP(E93,'Line items'!$B$3:$D$243,3,FALSE)</f>
        <v>40000</v>
      </c>
      <c r="J93" s="376">
        <f>+I93*G93</f>
        <v>0</v>
      </c>
      <c r="K93" s="1218"/>
      <c r="L93" s="1226"/>
      <c r="N93" s="95"/>
    </row>
    <row r="94" spans="1:14" s="30" customFormat="1" ht="13" outlineLevel="1">
      <c r="A94" s="109"/>
      <c r="B94" s="1164"/>
      <c r="C94" s="1160"/>
      <c r="D94" s="1160"/>
      <c r="E94" s="374" t="s">
        <v>680</v>
      </c>
      <c r="F94" s="467"/>
      <c r="G94" s="375"/>
      <c r="H94" s="619" t="s">
        <v>364</v>
      </c>
      <c r="I94" s="372">
        <f>+VLOOKUP(E94,'Line items'!$B$3:$D$243,3,FALSE)</f>
        <v>127500</v>
      </c>
      <c r="J94" s="376">
        <f>+I94*G94</f>
        <v>0</v>
      </c>
      <c r="K94" s="1218"/>
      <c r="L94" s="1226"/>
      <c r="N94" s="95"/>
    </row>
    <row r="95" spans="1:14" s="30" customFormat="1" outlineLevel="1" thickBot="1">
      <c r="A95" s="109"/>
      <c r="B95" s="1165"/>
      <c r="C95" s="1166"/>
      <c r="D95" s="1166"/>
      <c r="E95" s="396" t="s">
        <v>681</v>
      </c>
      <c r="F95" s="468"/>
      <c r="G95" s="397"/>
      <c r="H95" s="634" t="s">
        <v>364</v>
      </c>
      <c r="I95" s="408">
        <f>+VLOOKUP(E95,'Line items'!$B$3:$D$243,3,FALSE)</f>
        <v>127500</v>
      </c>
      <c r="J95" s="398">
        <f>+I95*G95</f>
        <v>0</v>
      </c>
      <c r="K95" s="1223"/>
      <c r="L95" s="1227"/>
      <c r="N95" s="95"/>
    </row>
    <row r="96" spans="1:14" s="30" customFormat="1" thickBot="1">
      <c r="A96" s="109"/>
      <c r="B96" s="442">
        <v>1.8</v>
      </c>
      <c r="C96" s="1167" t="s">
        <v>22</v>
      </c>
      <c r="D96" s="1167"/>
      <c r="E96" s="1167"/>
      <c r="F96" s="464"/>
      <c r="G96" s="444"/>
      <c r="H96" s="444"/>
      <c r="I96" s="444"/>
      <c r="J96" s="444"/>
      <c r="K96" s="445"/>
      <c r="L96" s="446"/>
      <c r="N96" s="95"/>
    </row>
    <row r="97" spans="1:14" s="30" customFormat="1" ht="13" outlineLevel="1">
      <c r="A97" s="109"/>
      <c r="B97" s="1162" t="s">
        <v>532</v>
      </c>
      <c r="C97" s="1163"/>
      <c r="D97" s="632" t="s">
        <v>420</v>
      </c>
      <c r="E97" s="392" t="s">
        <v>664</v>
      </c>
      <c r="F97" s="465"/>
      <c r="G97" s="393">
        <v>4</v>
      </c>
      <c r="H97" s="630" t="s">
        <v>364</v>
      </c>
      <c r="I97" s="394">
        <f>+VLOOKUP(E97,'Line items'!$B$3:$D$243,3,FALSE)</f>
        <v>1000</v>
      </c>
      <c r="J97" s="394">
        <f>+I97*G97</f>
        <v>4000</v>
      </c>
      <c r="K97" s="552">
        <f t="shared" ref="K97" si="0">+J97</f>
        <v>4000</v>
      </c>
      <c r="L97" s="1225">
        <f>+SUM(K97:K99)</f>
        <v>4000</v>
      </c>
      <c r="N97" s="95"/>
    </row>
    <row r="98" spans="1:14" s="30" customFormat="1" ht="13" outlineLevel="1">
      <c r="A98" s="109"/>
      <c r="B98" s="1164"/>
      <c r="C98" s="1160"/>
      <c r="D98" s="620" t="s">
        <v>421</v>
      </c>
      <c r="E98" s="374" t="s">
        <v>88</v>
      </c>
      <c r="F98" s="467"/>
      <c r="G98" s="375"/>
      <c r="H98" s="375"/>
      <c r="I98" s="376"/>
      <c r="J98" s="376"/>
      <c r="K98" s="534"/>
      <c r="L98" s="1226"/>
      <c r="N98" s="95"/>
    </row>
    <row r="99" spans="1:14" s="30" customFormat="1" outlineLevel="1" thickBot="1">
      <c r="A99" s="109"/>
      <c r="B99" s="1165"/>
      <c r="C99" s="1166"/>
      <c r="D99" s="631" t="s">
        <v>422</v>
      </c>
      <c r="E99" s="396" t="s">
        <v>88</v>
      </c>
      <c r="F99" s="468"/>
      <c r="G99" s="397"/>
      <c r="H99" s="397"/>
      <c r="I99" s="398"/>
      <c r="J99" s="398"/>
      <c r="K99" s="551"/>
      <c r="L99" s="1227"/>
      <c r="N99" s="95"/>
    </row>
    <row r="100" spans="1:14" s="30" customFormat="1" ht="13" outlineLevel="1">
      <c r="A100" s="109"/>
      <c r="B100" s="1162" t="s">
        <v>533</v>
      </c>
      <c r="C100" s="1163"/>
      <c r="D100" s="1163" t="s">
        <v>423</v>
      </c>
      <c r="E100" s="401" t="s">
        <v>315</v>
      </c>
      <c r="F100" s="469"/>
      <c r="G100" s="402">
        <v>1</v>
      </c>
      <c r="H100" s="633" t="str">
        <f>+VLOOKUP($E100,PharmacyL!$E$10:$I$195,4,FALSE)</f>
        <v>Ea</v>
      </c>
      <c r="I100" s="394">
        <f>+VLOOKUP(E100,'Line items'!$B$3:$D$243,3,FALSE)</f>
        <v>5000</v>
      </c>
      <c r="J100" s="403">
        <f>+I100*G100</f>
        <v>5000</v>
      </c>
      <c r="K100" s="1186">
        <f>+SUM(J100:J101)</f>
        <v>65000</v>
      </c>
      <c r="L100" s="1225">
        <f>+SUM(K100:K103)</f>
        <v>65000</v>
      </c>
      <c r="N100" s="95"/>
    </row>
    <row r="101" spans="1:14" s="30" customFormat="1" ht="13" outlineLevel="1">
      <c r="A101" s="109"/>
      <c r="B101" s="1164"/>
      <c r="C101" s="1160"/>
      <c r="D101" s="1160"/>
      <c r="E101" s="374" t="s">
        <v>700</v>
      </c>
      <c r="F101" s="467"/>
      <c r="G101" s="375">
        <v>300</v>
      </c>
      <c r="H101" s="585" t="s">
        <v>360</v>
      </c>
      <c r="I101" s="372">
        <f>+VLOOKUP(E101,'Line items'!$B$3:$D$243,3,FALSE)</f>
        <v>200</v>
      </c>
      <c r="J101" s="376">
        <f>+I101*G101</f>
        <v>60000</v>
      </c>
      <c r="K101" s="1180"/>
      <c r="L101" s="1226"/>
      <c r="N101" s="95"/>
    </row>
    <row r="102" spans="1:14" s="30" customFormat="1" ht="13" outlineLevel="1">
      <c r="A102" s="109"/>
      <c r="B102" s="1164"/>
      <c r="C102" s="1160"/>
      <c r="D102" s="620" t="s">
        <v>424</v>
      </c>
      <c r="E102" s="374" t="s">
        <v>88</v>
      </c>
      <c r="F102" s="467"/>
      <c r="G102" s="375"/>
      <c r="H102" s="375"/>
      <c r="I102" s="376"/>
      <c r="J102" s="376"/>
      <c r="K102" s="534"/>
      <c r="L102" s="1226"/>
      <c r="N102" s="95"/>
    </row>
    <row r="103" spans="1:14" s="30" customFormat="1" outlineLevel="1" thickBot="1">
      <c r="A103" s="109"/>
      <c r="B103" s="1172"/>
      <c r="C103" s="1161"/>
      <c r="D103" s="622" t="s">
        <v>425</v>
      </c>
      <c r="E103" s="427"/>
      <c r="F103" s="488"/>
      <c r="G103" s="428"/>
      <c r="H103" s="623"/>
      <c r="I103" s="426"/>
      <c r="J103" s="426"/>
      <c r="K103" s="542"/>
      <c r="L103" s="1228"/>
      <c r="N103" s="95"/>
    </row>
    <row r="104" spans="1:14" s="30" customFormat="1" thickBot="1">
      <c r="A104" s="109"/>
      <c r="B104" s="490">
        <v>2</v>
      </c>
      <c r="C104" s="491" t="s">
        <v>316</v>
      </c>
      <c r="D104" s="640"/>
      <c r="E104" s="493"/>
      <c r="F104" s="494"/>
      <c r="G104" s="495"/>
      <c r="H104" s="495"/>
      <c r="I104" s="496"/>
      <c r="J104" s="496"/>
      <c r="K104" s="560"/>
      <c r="L104" s="561"/>
      <c r="N104" s="95"/>
    </row>
    <row r="105" spans="1:14" s="30" customFormat="1" thickBot="1">
      <c r="A105" s="109"/>
      <c r="B105" s="499">
        <v>2.1</v>
      </c>
      <c r="C105" s="1210" t="s">
        <v>34</v>
      </c>
      <c r="D105" s="1210"/>
      <c r="E105" s="1210"/>
      <c r="F105" s="500"/>
      <c r="G105" s="501"/>
      <c r="H105" s="501"/>
      <c r="I105" s="502"/>
      <c r="J105" s="502"/>
      <c r="K105" s="562"/>
      <c r="L105" s="563"/>
      <c r="N105" s="95"/>
    </row>
    <row r="106" spans="1:14" s="30" customFormat="1" ht="13" outlineLevel="1">
      <c r="A106" s="109"/>
      <c r="B106" s="1162" t="s">
        <v>534</v>
      </c>
      <c r="C106" s="1163"/>
      <c r="D106" s="1163" t="s">
        <v>427</v>
      </c>
      <c r="E106" s="392" t="s">
        <v>344</v>
      </c>
      <c r="F106" s="465"/>
      <c r="G106" s="393"/>
      <c r="H106" s="630"/>
      <c r="I106" s="394"/>
      <c r="J106" s="394"/>
      <c r="K106" s="1194">
        <f>+SUM(J106:J108)</f>
        <v>3300</v>
      </c>
      <c r="L106" s="1225">
        <f>+SUM(K106:K110)</f>
        <v>4300</v>
      </c>
      <c r="N106" s="95"/>
    </row>
    <row r="107" spans="1:14" s="30" customFormat="1" ht="13" outlineLevel="1">
      <c r="A107" s="109"/>
      <c r="B107" s="1164"/>
      <c r="C107" s="1160"/>
      <c r="D107" s="1160"/>
      <c r="E107" s="370" t="s">
        <v>708</v>
      </c>
      <c r="F107" s="466"/>
      <c r="G107" s="371">
        <v>1</v>
      </c>
      <c r="H107" s="619" t="s">
        <v>364</v>
      </c>
      <c r="I107" s="372">
        <f>+VLOOKUP(E107,'Line items'!$B$3:$D$243,3,FALSE)</f>
        <v>1550</v>
      </c>
      <c r="J107" s="372">
        <f>+I107*G107</f>
        <v>1550</v>
      </c>
      <c r="K107" s="1160"/>
      <c r="L107" s="1226"/>
      <c r="N107" s="95"/>
    </row>
    <row r="108" spans="1:14" s="30" customFormat="1" ht="13" outlineLevel="1">
      <c r="A108" s="109"/>
      <c r="B108" s="1164"/>
      <c r="C108" s="1160"/>
      <c r="D108" s="1160"/>
      <c r="E108" s="370" t="s">
        <v>709</v>
      </c>
      <c r="F108" s="466"/>
      <c r="G108" s="371">
        <v>1</v>
      </c>
      <c r="H108" s="619" t="s">
        <v>364</v>
      </c>
      <c r="I108" s="372">
        <f>+VLOOKUP(E108,'Line items'!$B$3:$D$243,3,FALSE)</f>
        <v>1750</v>
      </c>
      <c r="J108" s="372">
        <f>+I108*G108</f>
        <v>1750</v>
      </c>
      <c r="K108" s="1160"/>
      <c r="L108" s="1226"/>
      <c r="N108" s="95"/>
    </row>
    <row r="109" spans="1:14" s="30" customFormat="1" ht="13" outlineLevel="1">
      <c r="A109" s="109"/>
      <c r="B109" s="1164"/>
      <c r="C109" s="1160"/>
      <c r="D109" s="620" t="s">
        <v>428</v>
      </c>
      <c r="E109" s="374" t="s">
        <v>88</v>
      </c>
      <c r="F109" s="467"/>
      <c r="G109" s="375"/>
      <c r="H109" s="375"/>
      <c r="I109" s="376"/>
      <c r="J109" s="376"/>
      <c r="K109" s="534"/>
      <c r="L109" s="1226"/>
      <c r="N109" s="95"/>
    </row>
    <row r="110" spans="1:14" s="30" customFormat="1" outlineLevel="1" thickBot="1">
      <c r="A110" s="109"/>
      <c r="B110" s="1165"/>
      <c r="C110" s="1166"/>
      <c r="D110" s="631" t="s">
        <v>429</v>
      </c>
      <c r="E110" s="396" t="s">
        <v>191</v>
      </c>
      <c r="F110" s="468"/>
      <c r="G110" s="397">
        <v>100</v>
      </c>
      <c r="H110" s="397" t="s">
        <v>360</v>
      </c>
      <c r="I110" s="408">
        <f>+VLOOKUP(E110,'Line items'!$B$3:$D$243,3,FALSE)</f>
        <v>10</v>
      </c>
      <c r="J110" s="398">
        <f>+I110*G110</f>
        <v>1000</v>
      </c>
      <c r="K110" s="551">
        <f>+J110</f>
        <v>1000</v>
      </c>
      <c r="L110" s="1227"/>
      <c r="N110" s="95"/>
    </row>
    <row r="111" spans="1:14" s="30" customFormat="1" ht="13" outlineLevel="1">
      <c r="A111" s="109"/>
      <c r="B111" s="1162" t="s">
        <v>535</v>
      </c>
      <c r="C111" s="1163"/>
      <c r="D111" s="1163" t="s">
        <v>430</v>
      </c>
      <c r="E111" s="401" t="s">
        <v>345</v>
      </c>
      <c r="F111" s="469" t="s">
        <v>318</v>
      </c>
      <c r="G111" s="402">
        <v>100</v>
      </c>
      <c r="H111" s="633" t="s">
        <v>360</v>
      </c>
      <c r="I111" s="394">
        <f>+VLOOKUP(E111,'Line items'!$B$3:$D$243,3,FALSE)</f>
        <v>50</v>
      </c>
      <c r="J111" s="403">
        <f>+I111*G111</f>
        <v>5000</v>
      </c>
      <c r="K111" s="1186">
        <f>+SUM(J111:J113)</f>
        <v>7450</v>
      </c>
      <c r="L111" s="1225">
        <f>+SUM(K111:K115)</f>
        <v>8450</v>
      </c>
      <c r="N111" s="95"/>
    </row>
    <row r="112" spans="1:14" s="30" customFormat="1" ht="13" outlineLevel="1">
      <c r="A112" s="109"/>
      <c r="B112" s="1164"/>
      <c r="C112" s="1160"/>
      <c r="D112" s="1160"/>
      <c r="E112" s="370" t="s">
        <v>709</v>
      </c>
      <c r="F112" s="467"/>
      <c r="G112" s="375">
        <v>1</v>
      </c>
      <c r="H112" s="585" t="s">
        <v>364</v>
      </c>
      <c r="I112" s="372">
        <f>+VLOOKUP(E112,'Line items'!$B$3:$D$243,3,FALSE)</f>
        <v>1750</v>
      </c>
      <c r="J112" s="376">
        <f>+I112*G112</f>
        <v>1750</v>
      </c>
      <c r="K112" s="1180"/>
      <c r="L112" s="1226"/>
      <c r="N112" s="95"/>
    </row>
    <row r="113" spans="1:15" s="30" customFormat="1" ht="13" outlineLevel="1">
      <c r="A113" s="109"/>
      <c r="B113" s="1164"/>
      <c r="C113" s="1160"/>
      <c r="D113" s="1160"/>
      <c r="E113" s="374" t="s">
        <v>705</v>
      </c>
      <c r="F113" s="467"/>
      <c r="G113" s="375">
        <v>1</v>
      </c>
      <c r="H113" s="585" t="str">
        <f>+VLOOKUP($E113,PharmacyL!$E$10:$I$195,4,FALSE)</f>
        <v>Ea</v>
      </c>
      <c r="I113" s="372">
        <f>+VLOOKUP(E113,'Line items'!$B$3:$D$243,3,FALSE)</f>
        <v>700</v>
      </c>
      <c r="J113" s="376">
        <f>+I113*G113</f>
        <v>700</v>
      </c>
      <c r="K113" s="1180"/>
      <c r="L113" s="1226"/>
      <c r="N113" s="95"/>
    </row>
    <row r="114" spans="1:15" s="30" customFormat="1" ht="13" outlineLevel="1">
      <c r="A114" s="109"/>
      <c r="B114" s="1164"/>
      <c r="C114" s="1160"/>
      <c r="D114" s="620" t="s">
        <v>431</v>
      </c>
      <c r="E114" s="374" t="s">
        <v>88</v>
      </c>
      <c r="F114" s="467"/>
      <c r="G114" s="375"/>
      <c r="H114" s="375"/>
      <c r="I114" s="376"/>
      <c r="J114" s="376"/>
      <c r="K114" s="534"/>
      <c r="L114" s="1226"/>
      <c r="N114" s="95"/>
    </row>
    <row r="115" spans="1:15" s="30" customFormat="1" outlineLevel="1" thickBot="1">
      <c r="A115" s="109"/>
      <c r="B115" s="1165"/>
      <c r="C115" s="1166"/>
      <c r="D115" s="631" t="s">
        <v>432</v>
      </c>
      <c r="E115" s="505" t="s">
        <v>191</v>
      </c>
      <c r="F115" s="468"/>
      <c r="G115" s="397">
        <v>100</v>
      </c>
      <c r="H115" s="397" t="s">
        <v>360</v>
      </c>
      <c r="I115" s="408">
        <f>+VLOOKUP(E115,'Line items'!$B$3:$D$243,3,FALSE)</f>
        <v>10</v>
      </c>
      <c r="J115" s="398">
        <f>+I115*G115</f>
        <v>1000</v>
      </c>
      <c r="K115" s="551">
        <f>+J115</f>
        <v>1000</v>
      </c>
      <c r="L115" s="1227"/>
      <c r="N115" s="95"/>
    </row>
    <row r="116" spans="1:15" s="30" customFormat="1" thickBot="1">
      <c r="A116" s="109"/>
      <c r="B116" s="499">
        <v>2.2000000000000002</v>
      </c>
      <c r="C116" s="1210" t="s">
        <v>37</v>
      </c>
      <c r="D116" s="1210"/>
      <c r="E116" s="1210"/>
      <c r="F116" s="500"/>
      <c r="G116" s="501"/>
      <c r="H116" s="501"/>
      <c r="I116" s="502"/>
      <c r="J116" s="502"/>
      <c r="K116" s="562"/>
      <c r="L116" s="563"/>
      <c r="N116" s="95"/>
    </row>
    <row r="117" spans="1:15" s="30" customFormat="1" ht="13" outlineLevel="1">
      <c r="A117" s="109"/>
      <c r="B117" s="1162" t="s">
        <v>536</v>
      </c>
      <c r="C117" s="1163"/>
      <c r="D117" s="632" t="s">
        <v>433</v>
      </c>
      <c r="E117" s="401" t="s">
        <v>88</v>
      </c>
      <c r="F117" s="469"/>
      <c r="G117" s="402"/>
      <c r="H117" s="402"/>
      <c r="I117" s="403"/>
      <c r="J117" s="403"/>
      <c r="K117" s="557"/>
      <c r="L117" s="1225">
        <f>+SUM(K117:K120)</f>
        <v>600</v>
      </c>
      <c r="N117" s="95"/>
    </row>
    <row r="118" spans="1:15" s="30" customFormat="1" ht="13" outlineLevel="1">
      <c r="A118" s="109"/>
      <c r="B118" s="1164"/>
      <c r="C118" s="1160"/>
      <c r="D118" s="620" t="s">
        <v>434</v>
      </c>
      <c r="E118" s="374" t="s">
        <v>88</v>
      </c>
      <c r="F118" s="467"/>
      <c r="G118" s="375"/>
      <c r="H118" s="375"/>
      <c r="I118" s="376"/>
      <c r="J118" s="376"/>
      <c r="K118" s="534"/>
      <c r="L118" s="1226"/>
      <c r="N118" s="95"/>
    </row>
    <row r="119" spans="1:15" s="30" customFormat="1" ht="13" outlineLevel="1">
      <c r="A119" s="109"/>
      <c r="B119" s="1164"/>
      <c r="C119" s="1160"/>
      <c r="D119" s="1160" t="s">
        <v>435</v>
      </c>
      <c r="E119" s="370" t="s">
        <v>707</v>
      </c>
      <c r="F119" s="467" t="s">
        <v>500</v>
      </c>
      <c r="G119" s="375">
        <v>4</v>
      </c>
      <c r="H119" s="585" t="str">
        <f>+VLOOKUP($E119,PharmacyL!$E$10:$I$195,4,FALSE)</f>
        <v>Ea</v>
      </c>
      <c r="I119" s="372">
        <f>+VLOOKUP(E119,'Line items'!$B$3:$D$243,3,FALSE)</f>
        <v>150</v>
      </c>
      <c r="J119" s="376">
        <f>+I119*G119</f>
        <v>600</v>
      </c>
      <c r="K119" s="1192">
        <f>+SUM(J119:J120)</f>
        <v>600</v>
      </c>
      <c r="L119" s="1226"/>
      <c r="N119" s="95"/>
    </row>
    <row r="120" spans="1:15" s="30" customFormat="1" outlineLevel="1" thickBot="1">
      <c r="A120" s="109"/>
      <c r="B120" s="1165"/>
      <c r="C120" s="1166"/>
      <c r="D120" s="1166"/>
      <c r="E120" s="396"/>
      <c r="F120" s="468"/>
      <c r="G120" s="397"/>
      <c r="H120" s="636"/>
      <c r="I120" s="398"/>
      <c r="J120" s="398"/>
      <c r="K120" s="1182"/>
      <c r="L120" s="1227"/>
      <c r="N120" s="95"/>
    </row>
    <row r="121" spans="1:15" s="30" customFormat="1" ht="13" outlineLevel="1">
      <c r="A121" s="109"/>
      <c r="B121" s="1162" t="s">
        <v>537</v>
      </c>
      <c r="C121" s="1163"/>
      <c r="D121" s="632" t="s">
        <v>436</v>
      </c>
      <c r="E121" s="401" t="s">
        <v>88</v>
      </c>
      <c r="F121" s="469"/>
      <c r="G121" s="402"/>
      <c r="H121" s="402"/>
      <c r="I121" s="403"/>
      <c r="J121" s="403"/>
      <c r="K121" s="557"/>
      <c r="L121" s="1225">
        <f>+SUM(K121:K124)</f>
        <v>10340</v>
      </c>
      <c r="N121" s="95"/>
    </row>
    <row r="122" spans="1:15" s="30" customFormat="1" ht="13" outlineLevel="1">
      <c r="A122" s="109"/>
      <c r="B122" s="1164"/>
      <c r="C122" s="1160"/>
      <c r="D122" s="620" t="s">
        <v>437</v>
      </c>
      <c r="E122" s="374" t="s">
        <v>88</v>
      </c>
      <c r="F122" s="467"/>
      <c r="G122" s="375"/>
      <c r="H122" s="375"/>
      <c r="I122" s="376"/>
      <c r="J122" s="376"/>
      <c r="K122" s="534"/>
      <c r="L122" s="1226"/>
      <c r="N122" s="95"/>
    </row>
    <row r="123" spans="1:15" s="30" customFormat="1" ht="13" outlineLevel="1">
      <c r="A123" s="109"/>
      <c r="B123" s="1164"/>
      <c r="C123" s="1160"/>
      <c r="D123" s="1160" t="s">
        <v>447</v>
      </c>
      <c r="E123" s="639"/>
      <c r="F123" s="467"/>
      <c r="G123" s="375"/>
      <c r="H123" s="585"/>
      <c r="I123" s="376"/>
      <c r="J123" s="376"/>
      <c r="K123" s="1192">
        <f>+SUM(J123:J124)</f>
        <v>10340</v>
      </c>
      <c r="L123" s="1226"/>
      <c r="N123" s="95"/>
    </row>
    <row r="124" spans="1:15" s="30" customFormat="1" outlineLevel="1" thickBot="1">
      <c r="A124" s="109"/>
      <c r="B124" s="1165"/>
      <c r="C124" s="1166"/>
      <c r="D124" s="1166"/>
      <c r="E124" s="439" t="s">
        <v>727</v>
      </c>
      <c r="F124" s="468"/>
      <c r="G124" s="397">
        <v>1</v>
      </c>
      <c r="H124" s="636" t="s">
        <v>364</v>
      </c>
      <c r="I124" s="408">
        <f>+VLOOKUP(E124,'Line items'!$B$3:$D$243,3,FALSE)</f>
        <v>10340</v>
      </c>
      <c r="J124" s="398">
        <f>+I124*G124</f>
        <v>10340</v>
      </c>
      <c r="K124" s="1182"/>
      <c r="L124" s="1227"/>
      <c r="N124" s="95"/>
    </row>
    <row r="125" spans="1:15" s="30" customFormat="1" ht="13" outlineLevel="1">
      <c r="A125" s="109"/>
      <c r="B125" s="1162" t="s">
        <v>538</v>
      </c>
      <c r="C125" s="1163"/>
      <c r="D125" s="1163" t="s">
        <v>438</v>
      </c>
      <c r="E125" s="401"/>
      <c r="F125" s="469"/>
      <c r="G125" s="402"/>
      <c r="H125" s="633"/>
      <c r="I125" s="403"/>
      <c r="J125" s="403"/>
      <c r="K125" s="1186">
        <f>+SUM(J125:J127)</f>
        <v>13340</v>
      </c>
      <c r="L125" s="1225">
        <f>+SUM(K125:K129)</f>
        <v>14340</v>
      </c>
      <c r="N125" s="95"/>
    </row>
    <row r="126" spans="1:15" s="30" customFormat="1" ht="13" outlineLevel="1">
      <c r="A126" s="109"/>
      <c r="B126" s="1164"/>
      <c r="C126" s="1160"/>
      <c r="D126" s="1160"/>
      <c r="E126" s="374" t="s">
        <v>346</v>
      </c>
      <c r="F126" s="467"/>
      <c r="G126" s="375">
        <v>100</v>
      </c>
      <c r="H126" s="585" t="s">
        <v>360</v>
      </c>
      <c r="I126" s="372">
        <f>+VLOOKUP(E126,'Line items'!$B$3:$D$243,3,FALSE)</f>
        <v>30</v>
      </c>
      <c r="J126" s="376">
        <f>+I126*G126</f>
        <v>3000</v>
      </c>
      <c r="K126" s="1180"/>
      <c r="L126" s="1226"/>
      <c r="N126" s="95"/>
    </row>
    <row r="127" spans="1:15" s="30" customFormat="1" ht="13" outlineLevel="1">
      <c r="A127" s="109"/>
      <c r="B127" s="1164"/>
      <c r="C127" s="1160"/>
      <c r="D127" s="1160"/>
      <c r="E127" s="370" t="s">
        <v>727</v>
      </c>
      <c r="F127" s="467"/>
      <c r="G127" s="375">
        <v>1</v>
      </c>
      <c r="H127" s="585" t="s">
        <v>364</v>
      </c>
      <c r="I127" s="372">
        <f>+VLOOKUP(E127,'Line items'!$B$3:$D$243,3,FALSE)</f>
        <v>10340</v>
      </c>
      <c r="J127" s="376">
        <f>+I127*G127</f>
        <v>10340</v>
      </c>
      <c r="K127" s="1180"/>
      <c r="L127" s="1226"/>
      <c r="N127" s="95"/>
      <c r="O127" s="95"/>
    </row>
    <row r="128" spans="1:15" s="30" customFormat="1" ht="13" outlineLevel="1">
      <c r="A128" s="109"/>
      <c r="B128" s="1164"/>
      <c r="C128" s="1160"/>
      <c r="D128" s="620" t="s">
        <v>439</v>
      </c>
      <c r="E128" s="374" t="s">
        <v>88</v>
      </c>
      <c r="F128" s="467"/>
      <c r="G128" s="375"/>
      <c r="H128" s="375"/>
      <c r="I128" s="376"/>
      <c r="J128" s="376"/>
      <c r="K128" s="534"/>
      <c r="L128" s="1226"/>
      <c r="N128" s="95"/>
    </row>
    <row r="129" spans="1:14" s="30" customFormat="1" outlineLevel="1" thickBot="1">
      <c r="A129" s="109"/>
      <c r="B129" s="1165"/>
      <c r="C129" s="1166"/>
      <c r="D129" s="631" t="s">
        <v>440</v>
      </c>
      <c r="E129" s="396" t="s">
        <v>191</v>
      </c>
      <c r="F129" s="468"/>
      <c r="G129" s="397">
        <v>100</v>
      </c>
      <c r="H129" s="397" t="s">
        <v>360</v>
      </c>
      <c r="I129" s="408">
        <f>+VLOOKUP(E129,'Line items'!$B$3:$D$243,3,FALSE)</f>
        <v>10</v>
      </c>
      <c r="J129" s="398">
        <f>+I129*G129</f>
        <v>1000</v>
      </c>
      <c r="K129" s="551">
        <f>+J129</f>
        <v>1000</v>
      </c>
      <c r="L129" s="1227"/>
      <c r="N129" s="95"/>
    </row>
    <row r="130" spans="1:14" s="30" customFormat="1" thickBot="1">
      <c r="A130" s="109"/>
      <c r="B130" s="499">
        <v>2.2999999999999998</v>
      </c>
      <c r="C130" s="1210" t="s">
        <v>38</v>
      </c>
      <c r="D130" s="1210"/>
      <c r="E130" s="1210"/>
      <c r="F130" s="500"/>
      <c r="G130" s="501"/>
      <c r="H130" s="501"/>
      <c r="I130" s="502"/>
      <c r="J130" s="502"/>
      <c r="K130" s="562"/>
      <c r="L130" s="563"/>
      <c r="N130" s="95"/>
    </row>
    <row r="131" spans="1:14" s="30" customFormat="1" ht="13" outlineLevel="1">
      <c r="A131" s="109"/>
      <c r="B131" s="1162" t="s">
        <v>539</v>
      </c>
      <c r="C131" s="1163"/>
      <c r="D131" s="632" t="s">
        <v>441</v>
      </c>
      <c r="E131" s="392" t="s">
        <v>321</v>
      </c>
      <c r="F131" s="465"/>
      <c r="G131" s="393">
        <v>100</v>
      </c>
      <c r="H131" s="630" t="str">
        <f>+VLOOKUP($E131,PharmacyL!$E$10:$I$195,4,FALSE)</f>
        <v>LF</v>
      </c>
      <c r="I131" s="394">
        <f>+VLOOKUP(E131,'Line items'!$B$3:$D$243,3,FALSE)</f>
        <v>10</v>
      </c>
      <c r="J131" s="394">
        <f>+I131*G131</f>
        <v>1000</v>
      </c>
      <c r="K131" s="635">
        <f>+J131</f>
        <v>1000</v>
      </c>
      <c r="L131" s="1225">
        <f>+SUM(K131:K135)</f>
        <v>61000</v>
      </c>
      <c r="N131" s="95"/>
    </row>
    <row r="132" spans="1:14" s="30" customFormat="1" ht="13" outlineLevel="1">
      <c r="A132" s="109"/>
      <c r="B132" s="1164"/>
      <c r="C132" s="1160"/>
      <c r="D132" s="620" t="s">
        <v>442</v>
      </c>
      <c r="E132" s="374" t="s">
        <v>88</v>
      </c>
      <c r="F132" s="467"/>
      <c r="G132" s="375"/>
      <c r="H132" s="375"/>
      <c r="I132" s="376"/>
      <c r="J132" s="376"/>
      <c r="K132" s="534"/>
      <c r="L132" s="1226"/>
      <c r="N132" s="95"/>
    </row>
    <row r="133" spans="1:14" s="30" customFormat="1" ht="13" outlineLevel="1">
      <c r="A133" s="109"/>
      <c r="B133" s="1164"/>
      <c r="C133" s="1160"/>
      <c r="D133" s="1160" t="s">
        <v>443</v>
      </c>
      <c r="E133" s="374" t="s">
        <v>647</v>
      </c>
      <c r="F133" s="467"/>
      <c r="G133" s="375">
        <v>6000</v>
      </c>
      <c r="H133" s="585" t="s">
        <v>95</v>
      </c>
      <c r="I133" s="372">
        <f>+VLOOKUP(E133,'Line items'!$B$3:$D$243,3,FALSE)</f>
        <v>10</v>
      </c>
      <c r="J133" s="376">
        <f>+I133*G133</f>
        <v>60000</v>
      </c>
      <c r="K133" s="1192">
        <f>+SUM(J133:J135)</f>
        <v>60000</v>
      </c>
      <c r="L133" s="1226"/>
      <c r="N133" s="95"/>
    </row>
    <row r="134" spans="1:14" s="30" customFormat="1" ht="13" outlineLevel="1">
      <c r="A134" s="109"/>
      <c r="B134" s="1164"/>
      <c r="C134" s="1160"/>
      <c r="D134" s="1160"/>
      <c r="E134" s="374"/>
      <c r="F134" s="467"/>
      <c r="G134" s="375"/>
      <c r="H134" s="585"/>
      <c r="I134" s="376"/>
      <c r="J134" s="376"/>
      <c r="K134" s="1180"/>
      <c r="L134" s="1226"/>
      <c r="N134" s="95"/>
    </row>
    <row r="135" spans="1:14" s="30" customFormat="1" outlineLevel="1" thickBot="1">
      <c r="A135" s="109"/>
      <c r="B135" s="1165"/>
      <c r="C135" s="1166"/>
      <c r="D135" s="1166"/>
      <c r="E135" s="505"/>
      <c r="F135" s="468"/>
      <c r="G135" s="397"/>
      <c r="H135" s="636"/>
      <c r="I135" s="398"/>
      <c r="J135" s="398"/>
      <c r="K135" s="1182"/>
      <c r="L135" s="1227"/>
      <c r="N135" s="95"/>
    </row>
    <row r="136" spans="1:14" s="30" customFormat="1" ht="13" outlineLevel="1">
      <c r="A136" s="109"/>
      <c r="B136" s="1162" t="s">
        <v>540</v>
      </c>
      <c r="C136" s="1163"/>
      <c r="D136" s="632" t="s">
        <v>444</v>
      </c>
      <c r="E136" s="401" t="s">
        <v>321</v>
      </c>
      <c r="F136" s="469"/>
      <c r="G136" s="402">
        <v>100</v>
      </c>
      <c r="H136" s="633" t="str">
        <f>+VLOOKUP($E136,PharmacyL!$E$10:$I$195,4,FALSE)</f>
        <v>LF</v>
      </c>
      <c r="I136" s="394">
        <f>+VLOOKUP(E136,'Line items'!$B$3:$D$243,3,FALSE)</f>
        <v>10</v>
      </c>
      <c r="J136" s="403">
        <f>+I136*G136</f>
        <v>1000</v>
      </c>
      <c r="K136" s="557">
        <f>+J136</f>
        <v>1000</v>
      </c>
      <c r="L136" s="1225">
        <f>+SUM(K136:K140)</f>
        <v>61000</v>
      </c>
      <c r="N136" s="95"/>
    </row>
    <row r="137" spans="1:14" s="30" customFormat="1" ht="13" outlineLevel="1">
      <c r="A137" s="109"/>
      <c r="B137" s="1164"/>
      <c r="C137" s="1160"/>
      <c r="D137" s="620" t="s">
        <v>445</v>
      </c>
      <c r="E137" s="374" t="s">
        <v>88</v>
      </c>
      <c r="F137" s="467"/>
      <c r="G137" s="375"/>
      <c r="H137" s="375"/>
      <c r="I137" s="376"/>
      <c r="J137" s="376"/>
      <c r="K137" s="534"/>
      <c r="L137" s="1226"/>
      <c r="N137" s="95"/>
    </row>
    <row r="138" spans="1:14" s="30" customFormat="1" ht="13" outlineLevel="1">
      <c r="A138" s="109"/>
      <c r="B138" s="1164"/>
      <c r="C138" s="1160"/>
      <c r="D138" s="1160" t="s">
        <v>446</v>
      </c>
      <c r="E138" s="374" t="s">
        <v>647</v>
      </c>
      <c r="F138" s="467"/>
      <c r="G138" s="375">
        <v>6000</v>
      </c>
      <c r="H138" s="585" t="s">
        <v>95</v>
      </c>
      <c r="I138" s="372">
        <f>+VLOOKUP(E138,'Line items'!$B$3:$D$243,3,FALSE)</f>
        <v>10</v>
      </c>
      <c r="J138" s="376">
        <f>+I138*G138</f>
        <v>60000</v>
      </c>
      <c r="K138" s="1192">
        <f>+SUM(J138:J140)</f>
        <v>60000</v>
      </c>
      <c r="L138" s="1226"/>
      <c r="N138" s="95"/>
    </row>
    <row r="139" spans="1:14" s="30" customFormat="1" ht="13" outlineLevel="1">
      <c r="A139" s="109"/>
      <c r="B139" s="1164"/>
      <c r="C139" s="1160"/>
      <c r="D139" s="1160"/>
      <c r="E139" s="374"/>
      <c r="F139" s="467"/>
      <c r="G139" s="375"/>
      <c r="H139" s="585"/>
      <c r="I139" s="376"/>
      <c r="J139" s="376"/>
      <c r="K139" s="1180"/>
      <c r="L139" s="1226"/>
      <c r="N139" s="95"/>
    </row>
    <row r="140" spans="1:14" s="30" customFormat="1" outlineLevel="1" thickBot="1">
      <c r="A140" s="109"/>
      <c r="B140" s="1172"/>
      <c r="C140" s="1161"/>
      <c r="D140" s="1161"/>
      <c r="E140" s="487"/>
      <c r="F140" s="470"/>
      <c r="G140" s="383"/>
      <c r="H140" s="624"/>
      <c r="I140" s="384"/>
      <c r="J140" s="384"/>
      <c r="K140" s="1184"/>
      <c r="L140" s="1228"/>
      <c r="N140" s="95"/>
    </row>
    <row r="141" spans="1:14" s="30" customFormat="1" thickBot="1">
      <c r="A141" s="109"/>
      <c r="B141" s="510">
        <v>3</v>
      </c>
      <c r="C141" s="511" t="s">
        <v>53</v>
      </c>
      <c r="D141" s="644"/>
      <c r="E141" s="513"/>
      <c r="F141" s="514"/>
      <c r="G141" s="515"/>
      <c r="H141" s="515"/>
      <c r="I141" s="516"/>
      <c r="J141" s="516"/>
      <c r="K141" s="564"/>
      <c r="L141" s="565"/>
      <c r="N141" s="95"/>
    </row>
    <row r="142" spans="1:14" s="30" customFormat="1" thickBot="1">
      <c r="A142" s="109"/>
      <c r="B142" s="519">
        <v>3.1</v>
      </c>
      <c r="C142" s="1173" t="s">
        <v>42</v>
      </c>
      <c r="D142" s="1173"/>
      <c r="E142" s="1173"/>
      <c r="F142" s="520"/>
      <c r="G142" s="521"/>
      <c r="H142" s="521"/>
      <c r="I142" s="522"/>
      <c r="J142" s="522"/>
      <c r="K142" s="566"/>
      <c r="L142" s="567"/>
      <c r="N142" s="95"/>
    </row>
    <row r="143" spans="1:14" s="30" customFormat="1" ht="13" outlineLevel="1">
      <c r="A143" s="109"/>
      <c r="B143" s="1162" t="s">
        <v>541</v>
      </c>
      <c r="C143" s="1163"/>
      <c r="D143" s="1163" t="s">
        <v>448</v>
      </c>
      <c r="E143" s="392" t="s">
        <v>324</v>
      </c>
      <c r="F143" s="465"/>
      <c r="G143" s="393">
        <v>1</v>
      </c>
      <c r="H143" s="630" t="str">
        <f>+VLOOKUP($E143,PharmacyL!$E$10:$I$195,4,FALSE)</f>
        <v>Ea</v>
      </c>
      <c r="I143" s="394">
        <f>+VLOOKUP(E143,'Line items'!$B$3:$D$243,3,FALSE)</f>
        <v>2500</v>
      </c>
      <c r="J143" s="394">
        <f>+I143*G143</f>
        <v>2500</v>
      </c>
      <c r="K143" s="1194">
        <f>+SUM(J143:J144)</f>
        <v>23500</v>
      </c>
      <c r="L143" s="1225">
        <f>+SUM(K143:K146)</f>
        <v>59500</v>
      </c>
      <c r="N143" s="95"/>
    </row>
    <row r="144" spans="1:14" s="30" customFormat="1" ht="13" outlineLevel="1">
      <c r="A144" s="109"/>
      <c r="B144" s="1164"/>
      <c r="C144" s="1160"/>
      <c r="D144" s="1160"/>
      <c r="E144" s="370" t="s">
        <v>715</v>
      </c>
      <c r="F144" s="466"/>
      <c r="G144" s="371">
        <v>300</v>
      </c>
      <c r="H144" s="619" t="str">
        <f>+VLOOKUP($E144,PharmacyL!$E$10:$I$195,4,FALSE)</f>
        <v>LF</v>
      </c>
      <c r="I144" s="372">
        <f>+VLOOKUP(E144,'Line items'!$B$3:$D$243,3,FALSE)</f>
        <v>70</v>
      </c>
      <c r="J144" s="372">
        <f>+I144*G144</f>
        <v>21000</v>
      </c>
      <c r="K144" s="1160"/>
      <c r="L144" s="1226"/>
      <c r="N144" s="95"/>
    </row>
    <row r="145" spans="1:14" s="30" customFormat="1" ht="13" outlineLevel="1">
      <c r="A145" s="109"/>
      <c r="B145" s="1164"/>
      <c r="C145" s="1160"/>
      <c r="D145" s="620" t="s">
        <v>449</v>
      </c>
      <c r="E145" s="374" t="s">
        <v>88</v>
      </c>
      <c r="F145" s="467"/>
      <c r="G145" s="375"/>
      <c r="H145" s="375"/>
      <c r="I145" s="376"/>
      <c r="J145" s="376"/>
      <c r="K145" s="534"/>
      <c r="L145" s="1226"/>
      <c r="N145" s="95"/>
    </row>
    <row r="146" spans="1:14" s="30" customFormat="1" outlineLevel="1" thickBot="1">
      <c r="A146" s="109"/>
      <c r="B146" s="1165"/>
      <c r="C146" s="1166"/>
      <c r="D146" s="631" t="s">
        <v>450</v>
      </c>
      <c r="E146" s="439" t="s">
        <v>723</v>
      </c>
      <c r="F146" s="477"/>
      <c r="G146" s="440">
        <v>300</v>
      </c>
      <c r="H146" s="634" t="s">
        <v>360</v>
      </c>
      <c r="I146" s="408">
        <f>+VLOOKUP(E146,'Line items'!$B$3:$D$243,3,FALSE)</f>
        <v>120</v>
      </c>
      <c r="J146" s="408">
        <f>+I146*G146</f>
        <v>36000</v>
      </c>
      <c r="K146" s="637">
        <f>+J146</f>
        <v>36000</v>
      </c>
      <c r="L146" s="1227"/>
      <c r="N146" s="95"/>
    </row>
    <row r="147" spans="1:14" s="30" customFormat="1" thickBot="1">
      <c r="A147" s="109"/>
      <c r="B147" s="519">
        <v>3.2</v>
      </c>
      <c r="C147" s="1173" t="s">
        <v>43</v>
      </c>
      <c r="D147" s="1173"/>
      <c r="E147" s="1173"/>
      <c r="F147" s="520"/>
      <c r="G147" s="521"/>
      <c r="H147" s="521"/>
      <c r="I147" s="522"/>
      <c r="J147" s="522"/>
      <c r="K147" s="566"/>
      <c r="L147" s="567"/>
      <c r="N147" s="95"/>
    </row>
    <row r="148" spans="1:14" s="30" customFormat="1" ht="13" outlineLevel="1">
      <c r="A148" s="109"/>
      <c r="B148" s="1162" t="s">
        <v>542</v>
      </c>
      <c r="C148" s="1163"/>
      <c r="D148" s="1178" t="s">
        <v>451</v>
      </c>
      <c r="E148" s="392" t="s">
        <v>325</v>
      </c>
      <c r="F148" s="465"/>
      <c r="G148" s="393"/>
      <c r="H148" s="630"/>
      <c r="I148" s="394"/>
      <c r="J148" s="394"/>
      <c r="K148" s="1194">
        <f>+SUM(J148:J150)</f>
        <v>21700</v>
      </c>
      <c r="L148" s="1225">
        <f>+SUM(K148:K152)</f>
        <v>57700</v>
      </c>
      <c r="N148" s="95"/>
    </row>
    <row r="149" spans="1:14" s="30" customFormat="1" ht="13" outlineLevel="1">
      <c r="A149" s="109"/>
      <c r="B149" s="1164"/>
      <c r="C149" s="1160"/>
      <c r="D149" s="1180"/>
      <c r="E149" s="370" t="s">
        <v>715</v>
      </c>
      <c r="F149" s="466"/>
      <c r="G149" s="371">
        <v>300</v>
      </c>
      <c r="H149" s="619" t="s">
        <v>360</v>
      </c>
      <c r="I149" s="372">
        <f>+VLOOKUP(E149,'Line items'!$B$3:$D$243,3,FALSE)</f>
        <v>70</v>
      </c>
      <c r="J149" s="372">
        <f>+I149*G149</f>
        <v>21000</v>
      </c>
      <c r="K149" s="1160"/>
      <c r="L149" s="1226"/>
      <c r="N149" s="95"/>
    </row>
    <row r="150" spans="1:14" s="30" customFormat="1" ht="13" outlineLevel="1">
      <c r="A150" s="109"/>
      <c r="B150" s="1164"/>
      <c r="C150" s="1160"/>
      <c r="D150" s="1180"/>
      <c r="E150" s="370" t="s">
        <v>705</v>
      </c>
      <c r="F150" s="466"/>
      <c r="G150" s="371">
        <v>1</v>
      </c>
      <c r="H150" s="619" t="str">
        <f>+VLOOKUP($E150,PharmacyL!$E$10:$I$195,4,FALSE)</f>
        <v>Ea</v>
      </c>
      <c r="I150" s="372">
        <f>+VLOOKUP(E150,'Line items'!$B$3:$D$243,3,FALSE)</f>
        <v>700</v>
      </c>
      <c r="J150" s="372">
        <f>+I150*G150</f>
        <v>700</v>
      </c>
      <c r="K150" s="1160"/>
      <c r="L150" s="1226"/>
      <c r="N150" s="95"/>
    </row>
    <row r="151" spans="1:14" s="30" customFormat="1" ht="13" outlineLevel="1">
      <c r="A151" s="109"/>
      <c r="B151" s="1164"/>
      <c r="C151" s="1160"/>
      <c r="D151" s="620" t="s">
        <v>452</v>
      </c>
      <c r="E151" s="374" t="s">
        <v>88</v>
      </c>
      <c r="F151" s="467"/>
      <c r="G151" s="375"/>
      <c r="H151" s="375"/>
      <c r="I151" s="376"/>
      <c r="J151" s="376"/>
      <c r="K151" s="534"/>
      <c r="L151" s="1226"/>
      <c r="N151" s="95"/>
    </row>
    <row r="152" spans="1:14" s="30" customFormat="1" outlineLevel="1" thickBot="1">
      <c r="A152" s="109"/>
      <c r="B152" s="1165"/>
      <c r="C152" s="1166"/>
      <c r="D152" s="631" t="s">
        <v>453</v>
      </c>
      <c r="E152" s="396" t="s">
        <v>716</v>
      </c>
      <c r="F152" s="468"/>
      <c r="G152" s="397">
        <v>300</v>
      </c>
      <c r="H152" s="636" t="str">
        <f>+VLOOKUP($E152,PharmacyL!$E$10:$I$195,4,FALSE)</f>
        <v>LF</v>
      </c>
      <c r="I152" s="408">
        <f>+VLOOKUP(E152,'Line items'!$B$3:$D$243,3,FALSE)</f>
        <v>120</v>
      </c>
      <c r="J152" s="398">
        <f>+I152*G152</f>
        <v>36000</v>
      </c>
      <c r="K152" s="551">
        <f>+J152</f>
        <v>36000</v>
      </c>
      <c r="L152" s="1227"/>
      <c r="N152" s="95"/>
    </row>
    <row r="153" spans="1:14" s="30" customFormat="1" ht="13" outlineLevel="1">
      <c r="A153" s="109"/>
      <c r="B153" s="1162" t="s">
        <v>543</v>
      </c>
      <c r="C153" s="1163"/>
      <c r="D153" s="1163" t="s">
        <v>454</v>
      </c>
      <c r="E153" s="401" t="s">
        <v>325</v>
      </c>
      <c r="F153" s="469"/>
      <c r="G153" s="402"/>
      <c r="H153" s="633"/>
      <c r="I153" s="403"/>
      <c r="J153" s="403"/>
      <c r="K153" s="1186">
        <f>+SUM(J153:J154)</f>
        <v>700</v>
      </c>
      <c r="L153" s="1225">
        <f>+SUM(K153:K156)</f>
        <v>41700</v>
      </c>
      <c r="N153" s="95"/>
    </row>
    <row r="154" spans="1:14" s="30" customFormat="1" ht="13" outlineLevel="1">
      <c r="A154" s="109"/>
      <c r="B154" s="1164"/>
      <c r="C154" s="1160"/>
      <c r="D154" s="1160"/>
      <c r="E154" s="370" t="s">
        <v>705</v>
      </c>
      <c r="F154" s="466"/>
      <c r="G154" s="371">
        <v>1</v>
      </c>
      <c r="H154" s="619" t="str">
        <f>+VLOOKUP($E154,PharmacyL!$E$10:$I$195,4,FALSE)</f>
        <v>Ea</v>
      </c>
      <c r="I154" s="372">
        <f>+VLOOKUP(E154,'Line items'!$B$3:$D$243,3,FALSE)</f>
        <v>700</v>
      </c>
      <c r="J154" s="376">
        <f>+I154*G154</f>
        <v>700</v>
      </c>
      <c r="K154" s="1180"/>
      <c r="L154" s="1226"/>
      <c r="N154" s="95"/>
    </row>
    <row r="155" spans="1:14" s="30" customFormat="1" ht="13" outlineLevel="1">
      <c r="A155" s="109"/>
      <c r="B155" s="1164"/>
      <c r="C155" s="1160"/>
      <c r="D155" s="620" t="s">
        <v>455</v>
      </c>
      <c r="E155" s="374" t="s">
        <v>717</v>
      </c>
      <c r="F155" s="467"/>
      <c r="G155" s="375">
        <v>1</v>
      </c>
      <c r="H155" s="585" t="str">
        <f>+VLOOKUP($E155,PharmacyL!$E$10:$I$195,4,FALSE)</f>
        <v>Ea</v>
      </c>
      <c r="I155" s="372">
        <f>+VLOOKUP(E155,'Line items'!$B$3:$D$243,3,FALSE)</f>
        <v>5000</v>
      </c>
      <c r="J155" s="376">
        <f>+I155*G155</f>
        <v>5000</v>
      </c>
      <c r="K155" s="534">
        <f>+J155</f>
        <v>5000</v>
      </c>
      <c r="L155" s="1226"/>
      <c r="N155" s="95"/>
    </row>
    <row r="156" spans="1:14" s="30" customFormat="1" outlineLevel="1" thickBot="1">
      <c r="A156" s="109"/>
      <c r="B156" s="1165"/>
      <c r="C156" s="1166"/>
      <c r="D156" s="631" t="s">
        <v>456</v>
      </c>
      <c r="E156" s="396" t="s">
        <v>716</v>
      </c>
      <c r="F156" s="468"/>
      <c r="G156" s="397">
        <v>300</v>
      </c>
      <c r="H156" s="636" t="str">
        <f>+VLOOKUP($E156,PharmacyL!$E$10:$I$195,4,FALSE)</f>
        <v>LF</v>
      </c>
      <c r="I156" s="408">
        <f>+VLOOKUP(E156,'Line items'!$B$3:$D$243,3,FALSE)</f>
        <v>120</v>
      </c>
      <c r="J156" s="398">
        <f>+I156*G156</f>
        <v>36000</v>
      </c>
      <c r="K156" s="551">
        <f>+J156</f>
        <v>36000</v>
      </c>
      <c r="L156" s="1227"/>
      <c r="N156" s="95"/>
    </row>
    <row r="157" spans="1:14" s="30" customFormat="1" ht="13" outlineLevel="1">
      <c r="A157" s="109"/>
      <c r="B157" s="1162" t="s">
        <v>544</v>
      </c>
      <c r="C157" s="1163"/>
      <c r="D157" s="632" t="s">
        <v>457</v>
      </c>
      <c r="E157" s="401" t="s">
        <v>88</v>
      </c>
      <c r="F157" s="469"/>
      <c r="G157" s="402"/>
      <c r="H157" s="402"/>
      <c r="I157" s="403"/>
      <c r="J157" s="403"/>
      <c r="K157" s="557"/>
      <c r="L157" s="1225">
        <f>+SUM(K157:K159)</f>
        <v>2000</v>
      </c>
      <c r="N157" s="95"/>
    </row>
    <row r="158" spans="1:14" s="30" customFormat="1" ht="13" outlineLevel="1">
      <c r="A158" s="109"/>
      <c r="B158" s="1164"/>
      <c r="C158" s="1160"/>
      <c r="D158" s="620" t="s">
        <v>458</v>
      </c>
      <c r="E158" s="374" t="s">
        <v>88</v>
      </c>
      <c r="F158" s="467"/>
      <c r="G158" s="375"/>
      <c r="H158" s="375"/>
      <c r="I158" s="376"/>
      <c r="J158" s="376"/>
      <c r="K158" s="534"/>
      <c r="L158" s="1226"/>
      <c r="N158" s="95"/>
    </row>
    <row r="159" spans="1:14" s="30" customFormat="1" outlineLevel="1" thickBot="1">
      <c r="A159" s="109"/>
      <c r="B159" s="1165"/>
      <c r="C159" s="1166"/>
      <c r="D159" s="631" t="s">
        <v>459</v>
      </c>
      <c r="E159" s="396" t="s">
        <v>326</v>
      </c>
      <c r="F159" s="468"/>
      <c r="G159" s="397">
        <v>1</v>
      </c>
      <c r="H159" s="636" t="str">
        <f>+VLOOKUP($E159,PharmacyL!$E$10:$I$195,4,FALSE)</f>
        <v>EA</v>
      </c>
      <c r="I159" s="408">
        <f>+VLOOKUP(E159,'Line items'!$B$3:$D$243,3,FALSE)</f>
        <v>2000</v>
      </c>
      <c r="J159" s="398">
        <f>+I159*G159</f>
        <v>2000</v>
      </c>
      <c r="K159" s="551">
        <f>+J159</f>
        <v>2000</v>
      </c>
      <c r="L159" s="1227"/>
      <c r="N159" s="95"/>
    </row>
    <row r="160" spans="1:14" s="30" customFormat="1" thickBot="1">
      <c r="A160" s="109"/>
      <c r="B160" s="519">
        <v>3.3</v>
      </c>
      <c r="C160" s="1173" t="s">
        <v>44</v>
      </c>
      <c r="D160" s="1173"/>
      <c r="E160" s="1173"/>
      <c r="F160" s="520"/>
      <c r="G160" s="521"/>
      <c r="H160" s="521"/>
      <c r="I160" s="522"/>
      <c r="J160" s="522"/>
      <c r="K160" s="566"/>
      <c r="L160" s="567"/>
      <c r="N160" s="95"/>
    </row>
    <row r="161" spans="1:14" s="30" customFormat="1" ht="13" outlineLevel="1">
      <c r="A161" s="109"/>
      <c r="B161" s="1162" t="s">
        <v>545</v>
      </c>
      <c r="C161" s="1163"/>
      <c r="D161" s="1178" t="s">
        <v>460</v>
      </c>
      <c r="E161" s="401" t="s">
        <v>327</v>
      </c>
      <c r="F161" s="465"/>
      <c r="G161" s="393"/>
      <c r="H161" s="630"/>
      <c r="I161" s="394">
        <v>0</v>
      </c>
      <c r="J161" s="394">
        <f>+I161*G161</f>
        <v>0</v>
      </c>
      <c r="K161" s="1194">
        <f>+SUM(J161:J163)</f>
        <v>0</v>
      </c>
      <c r="L161" s="1225">
        <f>+SUM(K161:K165)</f>
        <v>0</v>
      </c>
      <c r="N161" s="95"/>
    </row>
    <row r="162" spans="1:14" s="30" customFormat="1" ht="13" outlineLevel="1">
      <c r="A162" s="109"/>
      <c r="B162" s="1164"/>
      <c r="C162" s="1160"/>
      <c r="D162" s="1180"/>
      <c r="E162" s="374" t="s">
        <v>328</v>
      </c>
      <c r="F162" s="466"/>
      <c r="G162" s="371"/>
      <c r="H162" s="619"/>
      <c r="I162" s="372">
        <v>0</v>
      </c>
      <c r="J162" s="372">
        <f>+I162*G162</f>
        <v>0</v>
      </c>
      <c r="K162" s="1160"/>
      <c r="L162" s="1226"/>
      <c r="N162" s="95"/>
    </row>
    <row r="163" spans="1:14" s="30" customFormat="1" ht="13" outlineLevel="1">
      <c r="A163" s="109"/>
      <c r="B163" s="1164"/>
      <c r="C163" s="1160"/>
      <c r="D163" s="1180"/>
      <c r="E163" s="374" t="s">
        <v>329</v>
      </c>
      <c r="F163" s="466"/>
      <c r="G163" s="371"/>
      <c r="H163" s="619"/>
      <c r="I163" s="372">
        <v>0</v>
      </c>
      <c r="J163" s="372">
        <f>+I163*G163</f>
        <v>0</v>
      </c>
      <c r="K163" s="1160"/>
      <c r="L163" s="1226"/>
      <c r="N163" s="95"/>
    </row>
    <row r="164" spans="1:14" s="30" customFormat="1" ht="13" outlineLevel="1">
      <c r="A164" s="109"/>
      <c r="B164" s="1164"/>
      <c r="C164" s="1160"/>
      <c r="D164" s="620" t="s">
        <v>461</v>
      </c>
      <c r="E164" s="374" t="s">
        <v>88</v>
      </c>
      <c r="F164" s="467"/>
      <c r="G164" s="375"/>
      <c r="H164" s="375"/>
      <c r="I164" s="376"/>
      <c r="J164" s="376"/>
      <c r="K164" s="534"/>
      <c r="L164" s="1226"/>
      <c r="N164" s="95"/>
    </row>
    <row r="165" spans="1:14" s="30" customFormat="1" outlineLevel="1" thickBot="1">
      <c r="A165" s="109"/>
      <c r="B165" s="1165"/>
      <c r="C165" s="1166"/>
      <c r="D165" s="631" t="s">
        <v>462</v>
      </c>
      <c r="E165" s="396" t="s">
        <v>202</v>
      </c>
      <c r="F165" s="468"/>
      <c r="G165" s="397"/>
      <c r="H165" s="636"/>
      <c r="I165" s="398"/>
      <c r="J165" s="398"/>
      <c r="K165" s="551"/>
      <c r="L165" s="1227"/>
      <c r="N165" s="95"/>
    </row>
    <row r="166" spans="1:14" s="30" customFormat="1" ht="13" outlineLevel="1">
      <c r="A166" s="109"/>
      <c r="B166" s="1162" t="s">
        <v>546</v>
      </c>
      <c r="C166" s="1163"/>
      <c r="D166" s="1178" t="s">
        <v>463</v>
      </c>
      <c r="E166" s="401" t="s">
        <v>718</v>
      </c>
      <c r="F166" s="469"/>
      <c r="G166" s="402">
        <v>300</v>
      </c>
      <c r="H166" s="633" t="str">
        <f>+VLOOKUP($E166,PharmacyL!$E$10:$I$195,4,FALSE)</f>
        <v>LF</v>
      </c>
      <c r="I166" s="394">
        <f>+VLOOKUP(E166,'Line items'!$B$3:$D$243,3,FALSE)</f>
        <v>10</v>
      </c>
      <c r="J166" s="403">
        <f>+I166*G166</f>
        <v>3000</v>
      </c>
      <c r="K166" s="1186">
        <f>+SUM(J166:J167)</f>
        <v>4040</v>
      </c>
      <c r="L166" s="1225">
        <f>+SUM(K166:K169)</f>
        <v>5080</v>
      </c>
      <c r="N166" s="95"/>
    </row>
    <row r="167" spans="1:14" s="30" customFormat="1" ht="13" outlineLevel="1">
      <c r="A167" s="109"/>
      <c r="B167" s="1164"/>
      <c r="C167" s="1160"/>
      <c r="D167" s="1180"/>
      <c r="E167" s="374" t="s">
        <v>330</v>
      </c>
      <c r="F167" s="467"/>
      <c r="G167" s="375">
        <v>8</v>
      </c>
      <c r="H167" s="585" t="s">
        <v>364</v>
      </c>
      <c r="I167" s="372">
        <f>+VLOOKUP(E167,'Line items'!$B$3:$D$243,3,FALSE)</f>
        <v>130</v>
      </c>
      <c r="J167" s="376">
        <f>+I167*G167</f>
        <v>1040</v>
      </c>
      <c r="K167" s="1180"/>
      <c r="L167" s="1226"/>
      <c r="N167" s="95"/>
    </row>
    <row r="168" spans="1:14" s="30" customFormat="1" ht="13" outlineLevel="1">
      <c r="A168" s="109"/>
      <c r="B168" s="1164"/>
      <c r="C168" s="1160"/>
      <c r="D168" s="620" t="s">
        <v>464</v>
      </c>
      <c r="E168" s="374" t="s">
        <v>88</v>
      </c>
      <c r="F168" s="467"/>
      <c r="G168" s="375"/>
      <c r="H168" s="375"/>
      <c r="I168" s="376"/>
      <c r="J168" s="376"/>
      <c r="K168" s="534"/>
      <c r="L168" s="1226"/>
      <c r="N168" s="95"/>
    </row>
    <row r="169" spans="1:14" s="30" customFormat="1" outlineLevel="1" thickBot="1">
      <c r="A169" s="109"/>
      <c r="B169" s="1165"/>
      <c r="C169" s="1166"/>
      <c r="D169" s="631" t="s">
        <v>465</v>
      </c>
      <c r="E169" s="643" t="s">
        <v>330</v>
      </c>
      <c r="F169" s="468"/>
      <c r="G169" s="397">
        <v>8</v>
      </c>
      <c r="H169" s="636" t="s">
        <v>364</v>
      </c>
      <c r="I169" s="408">
        <f>+VLOOKUP(E169,'Line items'!$B$3:$D$243,3,FALSE)</f>
        <v>130</v>
      </c>
      <c r="J169" s="398">
        <f>+I169*G169</f>
        <v>1040</v>
      </c>
      <c r="K169" s="551">
        <f>+J169</f>
        <v>1040</v>
      </c>
      <c r="L169" s="1227"/>
      <c r="N169" s="95"/>
    </row>
    <row r="170" spans="1:14" s="30" customFormat="1" ht="13" outlineLevel="1">
      <c r="A170" s="109"/>
      <c r="B170" s="1162" t="s">
        <v>547</v>
      </c>
      <c r="C170" s="1163"/>
      <c r="D170" s="1163" t="s">
        <v>466</v>
      </c>
      <c r="E170" s="642" t="s">
        <v>331</v>
      </c>
      <c r="F170" s="469"/>
      <c r="G170" s="402"/>
      <c r="H170" s="633">
        <f>+VLOOKUP($E170,PharmacyL!$E$10:$I$195,4,FALSE)</f>
        <v>0</v>
      </c>
      <c r="I170" s="403">
        <v>0</v>
      </c>
      <c r="J170" s="403">
        <f>+I170*G170</f>
        <v>0</v>
      </c>
      <c r="K170" s="1186">
        <f>+SUM(J170:J172)</f>
        <v>4040</v>
      </c>
      <c r="L170" s="1225">
        <f>+SUM(K170:K174)</f>
        <v>5080</v>
      </c>
      <c r="N170" s="95"/>
    </row>
    <row r="171" spans="1:14" s="30" customFormat="1" ht="13" outlineLevel="1">
      <c r="A171" s="109"/>
      <c r="B171" s="1164"/>
      <c r="C171" s="1160"/>
      <c r="D171" s="1160"/>
      <c r="E171" s="641" t="s">
        <v>718</v>
      </c>
      <c r="F171" s="467"/>
      <c r="G171" s="375">
        <v>300</v>
      </c>
      <c r="H171" s="585" t="str">
        <f>+VLOOKUP($E171,PharmacyL!$E$10:$I$195,4,FALSE)</f>
        <v>LF</v>
      </c>
      <c r="I171" s="372">
        <f>+VLOOKUP(E171,'Line items'!$B$3:$D$243,3,FALSE)</f>
        <v>10</v>
      </c>
      <c r="J171" s="376">
        <f>+I171*G171</f>
        <v>3000</v>
      </c>
      <c r="K171" s="1180"/>
      <c r="L171" s="1226"/>
      <c r="N171" s="95"/>
    </row>
    <row r="172" spans="1:14" s="30" customFormat="1" ht="13" outlineLevel="1">
      <c r="A172" s="109"/>
      <c r="B172" s="1164"/>
      <c r="C172" s="1160"/>
      <c r="D172" s="1160"/>
      <c r="E172" s="641" t="s">
        <v>330</v>
      </c>
      <c r="F172" s="467"/>
      <c r="G172" s="375">
        <v>8</v>
      </c>
      <c r="H172" s="585" t="s">
        <v>364</v>
      </c>
      <c r="I172" s="372">
        <f>+VLOOKUP(E172,'Line items'!$B$3:$D$243,3,FALSE)</f>
        <v>130</v>
      </c>
      <c r="J172" s="376">
        <f>+I172*G172</f>
        <v>1040</v>
      </c>
      <c r="K172" s="1180"/>
      <c r="L172" s="1226"/>
      <c r="N172" s="95"/>
    </row>
    <row r="173" spans="1:14" s="30" customFormat="1" ht="13" outlineLevel="1">
      <c r="A173" s="109"/>
      <c r="B173" s="1164"/>
      <c r="C173" s="1160"/>
      <c r="D173" s="620" t="s">
        <v>467</v>
      </c>
      <c r="E173" s="641" t="s">
        <v>88</v>
      </c>
      <c r="F173" s="467"/>
      <c r="G173" s="375"/>
      <c r="H173" s="375"/>
      <c r="I173" s="376"/>
      <c r="J173" s="376"/>
      <c r="K173" s="534"/>
      <c r="L173" s="1226"/>
      <c r="N173" s="95"/>
    </row>
    <row r="174" spans="1:14" s="30" customFormat="1" outlineLevel="1" thickBot="1">
      <c r="A174" s="109"/>
      <c r="B174" s="1165"/>
      <c r="C174" s="1166"/>
      <c r="D174" s="631" t="s">
        <v>468</v>
      </c>
      <c r="E174" s="643" t="s">
        <v>330</v>
      </c>
      <c r="F174" s="477"/>
      <c r="G174" s="440">
        <f>+G172</f>
        <v>8</v>
      </c>
      <c r="H174" s="634" t="s">
        <v>364</v>
      </c>
      <c r="I174" s="408">
        <f>+VLOOKUP(E174,'Line items'!$B$3:$D$243,3,FALSE)</f>
        <v>130</v>
      </c>
      <c r="J174" s="408">
        <f>+I174*G174</f>
        <v>1040</v>
      </c>
      <c r="K174" s="637">
        <f>+J174</f>
        <v>1040</v>
      </c>
      <c r="L174" s="1227"/>
      <c r="N174" s="95"/>
    </row>
    <row r="175" spans="1:14" s="30" customFormat="1" thickBot="1">
      <c r="A175" s="109"/>
      <c r="B175" s="519">
        <v>3.4</v>
      </c>
      <c r="C175" s="1173" t="s">
        <v>45</v>
      </c>
      <c r="D175" s="1173"/>
      <c r="E175" s="1173"/>
      <c r="F175" s="520"/>
      <c r="G175" s="521"/>
      <c r="H175" s="521"/>
      <c r="I175" s="522"/>
      <c r="J175" s="522"/>
      <c r="K175" s="566"/>
      <c r="L175" s="567"/>
      <c r="N175" s="95"/>
    </row>
    <row r="176" spans="1:14" s="30" customFormat="1" ht="13" outlineLevel="1">
      <c r="A176" s="109"/>
      <c r="B176" s="1162" t="s">
        <v>548</v>
      </c>
      <c r="C176" s="1163"/>
      <c r="D176" s="632" t="s">
        <v>469</v>
      </c>
      <c r="E176" s="401" t="s">
        <v>88</v>
      </c>
      <c r="F176" s="469"/>
      <c r="G176" s="402"/>
      <c r="H176" s="402"/>
      <c r="I176" s="403"/>
      <c r="J176" s="403"/>
      <c r="K176" s="557"/>
      <c r="L176" s="1225">
        <f>+SUM(K176:K178)</f>
        <v>0</v>
      </c>
      <c r="N176" s="95"/>
    </row>
    <row r="177" spans="1:14" s="30" customFormat="1" ht="13" outlineLevel="1">
      <c r="A177" s="109"/>
      <c r="B177" s="1164"/>
      <c r="C177" s="1160"/>
      <c r="D177" s="620" t="s">
        <v>470</v>
      </c>
      <c r="E177" s="374" t="s">
        <v>88</v>
      </c>
      <c r="F177" s="467"/>
      <c r="G177" s="375"/>
      <c r="H177" s="375"/>
      <c r="I177" s="376"/>
      <c r="J177" s="376"/>
      <c r="K177" s="534"/>
      <c r="L177" s="1226"/>
      <c r="N177" s="95"/>
    </row>
    <row r="178" spans="1:14" s="30" customFormat="1" outlineLevel="1" thickBot="1">
      <c r="A178" s="109"/>
      <c r="B178" s="1165"/>
      <c r="C178" s="1166"/>
      <c r="D178" s="631" t="s">
        <v>471</v>
      </c>
      <c r="E178" s="396" t="s">
        <v>88</v>
      </c>
      <c r="F178" s="468"/>
      <c r="G178" s="397"/>
      <c r="H178" s="397"/>
      <c r="I178" s="398"/>
      <c r="J178" s="398"/>
      <c r="K178" s="551"/>
      <c r="L178" s="1227"/>
      <c r="N178" s="95"/>
    </row>
    <row r="179" spans="1:14" s="30" customFormat="1" ht="13" outlineLevel="1">
      <c r="A179" s="109"/>
      <c r="B179" s="1162" t="s">
        <v>549</v>
      </c>
      <c r="C179" s="1163"/>
      <c r="D179" s="632" t="s">
        <v>472</v>
      </c>
      <c r="E179" s="401" t="s">
        <v>88</v>
      </c>
      <c r="F179" s="469"/>
      <c r="G179" s="402"/>
      <c r="H179" s="402"/>
      <c r="I179" s="403"/>
      <c r="J179" s="403"/>
      <c r="K179" s="557"/>
      <c r="L179" s="1225">
        <f>+SUM(K179:K181)</f>
        <v>0</v>
      </c>
      <c r="N179" s="95"/>
    </row>
    <row r="180" spans="1:14" s="30" customFormat="1" ht="13" outlineLevel="1">
      <c r="A180" s="109"/>
      <c r="B180" s="1164"/>
      <c r="C180" s="1160"/>
      <c r="D180" s="620" t="s">
        <v>473</v>
      </c>
      <c r="E180" s="374" t="s">
        <v>88</v>
      </c>
      <c r="F180" s="467"/>
      <c r="G180" s="375"/>
      <c r="H180" s="375"/>
      <c r="I180" s="376"/>
      <c r="J180" s="376"/>
      <c r="K180" s="534"/>
      <c r="L180" s="1226"/>
      <c r="N180" s="95"/>
    </row>
    <row r="181" spans="1:14" s="30" customFormat="1" outlineLevel="1" thickBot="1">
      <c r="A181" s="109"/>
      <c r="B181" s="1165"/>
      <c r="C181" s="1166"/>
      <c r="D181" s="631" t="s">
        <v>474</v>
      </c>
      <c r="E181" s="396" t="s">
        <v>88</v>
      </c>
      <c r="F181" s="468"/>
      <c r="G181" s="397"/>
      <c r="H181" s="397"/>
      <c r="I181" s="398"/>
      <c r="J181" s="398"/>
      <c r="K181" s="551"/>
      <c r="L181" s="1227"/>
      <c r="N181" s="95"/>
    </row>
    <row r="182" spans="1:14" s="30" customFormat="1" thickBot="1">
      <c r="A182" s="109"/>
      <c r="B182" s="519">
        <v>3.5</v>
      </c>
      <c r="C182" s="1173" t="s">
        <v>46</v>
      </c>
      <c r="D182" s="1173"/>
      <c r="E182" s="1173"/>
      <c r="F182" s="520"/>
      <c r="G182" s="521"/>
      <c r="H182" s="521"/>
      <c r="I182" s="522"/>
      <c r="J182" s="522"/>
      <c r="K182" s="566"/>
      <c r="L182" s="567"/>
      <c r="N182" s="95"/>
    </row>
    <row r="183" spans="1:14" s="30" customFormat="1" ht="13" outlineLevel="1">
      <c r="A183" s="109"/>
      <c r="B183" s="1162" t="s">
        <v>550</v>
      </c>
      <c r="C183" s="1163"/>
      <c r="D183" s="632" t="s">
        <v>475</v>
      </c>
      <c r="E183" s="401" t="s">
        <v>88</v>
      </c>
      <c r="F183" s="469"/>
      <c r="G183" s="402"/>
      <c r="H183" s="402"/>
      <c r="I183" s="403"/>
      <c r="J183" s="403"/>
      <c r="K183" s="557"/>
      <c r="L183" s="1225">
        <f>+SUM(K183:K185)</f>
        <v>0</v>
      </c>
      <c r="N183" s="95"/>
    </row>
    <row r="184" spans="1:14" s="30" customFormat="1" ht="13" outlineLevel="1">
      <c r="A184" s="109"/>
      <c r="B184" s="1164"/>
      <c r="C184" s="1160"/>
      <c r="D184" s="620" t="s">
        <v>476</v>
      </c>
      <c r="E184" s="374" t="s">
        <v>88</v>
      </c>
      <c r="F184" s="467"/>
      <c r="G184" s="375"/>
      <c r="H184" s="375"/>
      <c r="I184" s="376"/>
      <c r="J184" s="376"/>
      <c r="K184" s="534"/>
      <c r="L184" s="1226"/>
      <c r="N184" s="95"/>
    </row>
    <row r="185" spans="1:14" s="30" customFormat="1" outlineLevel="1" thickBot="1">
      <c r="A185" s="109"/>
      <c r="B185" s="1165"/>
      <c r="C185" s="1166"/>
      <c r="D185" s="631" t="s">
        <v>477</v>
      </c>
      <c r="E185" s="396" t="s">
        <v>88</v>
      </c>
      <c r="F185" s="468"/>
      <c r="G185" s="397"/>
      <c r="H185" s="397"/>
      <c r="I185" s="398"/>
      <c r="J185" s="398"/>
      <c r="K185" s="551"/>
      <c r="L185" s="1227"/>
      <c r="N185" s="95"/>
    </row>
    <row r="186" spans="1:14" s="30" customFormat="1" ht="13" outlineLevel="1">
      <c r="A186" s="109"/>
      <c r="B186" s="1162" t="s">
        <v>551</v>
      </c>
      <c r="C186" s="1163"/>
      <c r="D186" s="632" t="s">
        <v>478</v>
      </c>
      <c r="E186" s="401" t="s">
        <v>88</v>
      </c>
      <c r="F186" s="469"/>
      <c r="G186" s="402"/>
      <c r="H186" s="402"/>
      <c r="I186" s="403"/>
      <c r="J186" s="403"/>
      <c r="K186" s="557"/>
      <c r="L186" s="1225">
        <f>+SUM(K186:K188)</f>
        <v>0</v>
      </c>
      <c r="N186" s="95"/>
    </row>
    <row r="187" spans="1:14" s="30" customFormat="1" ht="13" outlineLevel="1">
      <c r="A187" s="109"/>
      <c r="B187" s="1164"/>
      <c r="C187" s="1160"/>
      <c r="D187" s="620" t="s">
        <v>479</v>
      </c>
      <c r="E187" s="374" t="s">
        <v>88</v>
      </c>
      <c r="F187" s="467"/>
      <c r="G187" s="375"/>
      <c r="H187" s="375"/>
      <c r="I187" s="376"/>
      <c r="J187" s="376"/>
      <c r="K187" s="534"/>
      <c r="L187" s="1226"/>
      <c r="N187" s="95"/>
    </row>
    <row r="188" spans="1:14" s="30" customFormat="1" outlineLevel="1" thickBot="1">
      <c r="A188" s="109"/>
      <c r="B188" s="1165"/>
      <c r="C188" s="1166"/>
      <c r="D188" s="631" t="s">
        <v>480</v>
      </c>
      <c r="E188" s="396" t="s">
        <v>88</v>
      </c>
      <c r="F188" s="468"/>
      <c r="G188" s="397"/>
      <c r="H188" s="397"/>
      <c r="I188" s="398"/>
      <c r="J188" s="398"/>
      <c r="K188" s="551"/>
      <c r="L188" s="1227"/>
      <c r="N188" s="95"/>
    </row>
    <row r="189" spans="1:14" s="30" customFormat="1" thickBot="1">
      <c r="A189" s="109"/>
      <c r="B189" s="1215" t="s">
        <v>54</v>
      </c>
      <c r="C189" s="1216"/>
      <c r="D189" s="1216"/>
      <c r="E189" s="1216"/>
      <c r="F189" s="520"/>
      <c r="G189" s="521"/>
      <c r="H189" s="521"/>
      <c r="I189" s="522"/>
      <c r="J189" s="522"/>
      <c r="K189" s="566"/>
      <c r="L189" s="567"/>
      <c r="N189" s="95"/>
    </row>
    <row r="190" spans="1:14" s="30" customFormat="1" thickBot="1">
      <c r="A190" s="109"/>
      <c r="B190" s="519">
        <v>3.6</v>
      </c>
      <c r="C190" s="1173" t="s">
        <v>47</v>
      </c>
      <c r="D190" s="1173"/>
      <c r="E190" s="1173"/>
      <c r="F190" s="520"/>
      <c r="G190" s="521"/>
      <c r="H190" s="521"/>
      <c r="I190" s="522"/>
      <c r="J190" s="522"/>
      <c r="K190" s="566"/>
      <c r="L190" s="567"/>
      <c r="N190" s="95"/>
    </row>
    <row r="191" spans="1:14" s="30" customFormat="1" ht="13" outlineLevel="1">
      <c r="A191" s="109"/>
      <c r="B191" s="1162" t="s">
        <v>552</v>
      </c>
      <c r="C191" s="1163"/>
      <c r="D191" s="1178" t="s">
        <v>481</v>
      </c>
      <c r="E191" s="401" t="s">
        <v>722</v>
      </c>
      <c r="F191" s="469"/>
      <c r="G191" s="402">
        <v>6000</v>
      </c>
      <c r="H191" s="633" t="s">
        <v>95</v>
      </c>
      <c r="I191" s="394">
        <f>+VLOOKUP(E191,'Line items'!$B$3:$D$243,3,FALSE)</f>
        <v>10</v>
      </c>
      <c r="J191" s="403">
        <f>+I191*G191</f>
        <v>60000</v>
      </c>
      <c r="K191" s="1186">
        <f>+SUM(J191:J192)</f>
        <v>62600</v>
      </c>
      <c r="L191" s="1225">
        <f>+SUM(K191:K194)</f>
        <v>62600</v>
      </c>
      <c r="N191" s="95"/>
    </row>
    <row r="192" spans="1:14" s="30" customFormat="1" ht="13" outlineLevel="1">
      <c r="A192" s="109"/>
      <c r="B192" s="1164"/>
      <c r="C192" s="1160"/>
      <c r="D192" s="1180"/>
      <c r="E192" s="374" t="s">
        <v>335</v>
      </c>
      <c r="F192" s="467"/>
      <c r="G192" s="375">
        <v>1</v>
      </c>
      <c r="H192" s="585" t="str">
        <f>+VLOOKUP($E192,PharmacyL!$E$10:$I$195,4,FALSE)</f>
        <v>Ea</v>
      </c>
      <c r="I192" s="372">
        <f>+VLOOKUP(E192,'Line items'!$B$3:$D$243,3,FALSE)</f>
        <v>2600</v>
      </c>
      <c r="J192" s="376">
        <f>+I192*G192</f>
        <v>2600</v>
      </c>
      <c r="K192" s="1180"/>
      <c r="L192" s="1226"/>
      <c r="N192" s="95"/>
    </row>
    <row r="193" spans="1:14" s="30" customFormat="1" ht="13" outlineLevel="1">
      <c r="A193" s="109"/>
      <c r="B193" s="1164"/>
      <c r="C193" s="1160"/>
      <c r="D193" s="620" t="s">
        <v>482</v>
      </c>
      <c r="E193" s="374" t="s">
        <v>88</v>
      </c>
      <c r="F193" s="467"/>
      <c r="G193" s="375"/>
      <c r="H193" s="375"/>
      <c r="I193" s="376"/>
      <c r="J193" s="376"/>
      <c r="K193" s="534"/>
      <c r="L193" s="1226"/>
      <c r="N193" s="95"/>
    </row>
    <row r="194" spans="1:14" s="30" customFormat="1" outlineLevel="1" thickBot="1">
      <c r="A194" s="109"/>
      <c r="B194" s="1165"/>
      <c r="C194" s="1166"/>
      <c r="D194" s="631" t="s">
        <v>483</v>
      </c>
      <c r="E194" s="396" t="s">
        <v>88</v>
      </c>
      <c r="F194" s="468"/>
      <c r="G194" s="397"/>
      <c r="H194" s="397"/>
      <c r="I194" s="398"/>
      <c r="J194" s="398"/>
      <c r="K194" s="551"/>
      <c r="L194" s="1227"/>
      <c r="N194" s="95"/>
    </row>
    <row r="195" spans="1:14" s="30" customFormat="1" thickBot="1">
      <c r="A195" s="109"/>
      <c r="B195" s="519">
        <v>3.7</v>
      </c>
      <c r="C195" s="1173" t="s">
        <v>48</v>
      </c>
      <c r="D195" s="1173"/>
      <c r="E195" s="1173"/>
      <c r="F195" s="520"/>
      <c r="G195" s="521"/>
      <c r="H195" s="521"/>
      <c r="I195" s="522"/>
      <c r="J195" s="522"/>
      <c r="K195" s="566"/>
      <c r="L195" s="567"/>
      <c r="N195" s="95"/>
    </row>
    <row r="196" spans="1:14" s="30" customFormat="1" ht="13">
      <c r="A196" s="109"/>
      <c r="B196" s="109"/>
      <c r="C196" s="229"/>
      <c r="D196" s="120"/>
      <c r="E196" s="109"/>
      <c r="F196" s="582"/>
      <c r="G196" s="120"/>
      <c r="H196" s="120"/>
      <c r="I196" s="225"/>
      <c r="J196" s="225"/>
      <c r="K196" s="236"/>
      <c r="L196" s="236"/>
      <c r="N196" s="95"/>
    </row>
    <row r="197" spans="1:14" s="30" customFormat="1" ht="13">
      <c r="A197" s="109"/>
      <c r="B197" s="109"/>
      <c r="C197" s="229"/>
      <c r="D197" s="120"/>
      <c r="E197" s="109"/>
      <c r="F197" s="582"/>
      <c r="G197" s="120"/>
      <c r="H197" s="120"/>
      <c r="I197" s="225"/>
      <c r="J197" s="225"/>
      <c r="K197" s="236"/>
      <c r="L197" s="236"/>
      <c r="N197" s="95"/>
    </row>
    <row r="198" spans="1:14" s="30" customFormat="1" ht="13">
      <c r="A198" s="109"/>
      <c r="B198" s="109"/>
      <c r="C198" s="229"/>
      <c r="D198" s="120"/>
      <c r="E198" s="109"/>
      <c r="F198" s="582"/>
      <c r="G198" s="120"/>
      <c r="H198" s="120"/>
      <c r="I198" s="225"/>
      <c r="J198" s="225"/>
      <c r="K198" s="236"/>
      <c r="L198" s="236"/>
      <c r="N198" s="95"/>
    </row>
    <row r="199" spans="1:14" s="30" customFormat="1" ht="13">
      <c r="C199" s="88"/>
      <c r="D199" s="89"/>
      <c r="F199" s="583"/>
      <c r="G199" s="89"/>
      <c r="H199" s="89"/>
      <c r="I199" s="92"/>
      <c r="J199" s="92"/>
      <c r="K199" s="105"/>
      <c r="L199" s="105"/>
      <c r="N199" s="95"/>
    </row>
    <row r="200" spans="1:14">
      <c r="F200" s="584"/>
      <c r="G200" s="89"/>
      <c r="H200" s="89"/>
    </row>
    <row r="201" spans="1:14">
      <c r="F201" s="584"/>
      <c r="G201" s="89"/>
      <c r="H201" s="89"/>
    </row>
    <row r="202" spans="1:14">
      <c r="F202" s="584"/>
      <c r="G202" s="89"/>
      <c r="H202" s="89"/>
    </row>
    <row r="203" spans="1:14">
      <c r="F203" s="584"/>
      <c r="G203" s="89"/>
      <c r="H203" s="89"/>
    </row>
    <row r="204" spans="1:14">
      <c r="F204" s="584"/>
      <c r="G204" s="89"/>
      <c r="H204" s="89"/>
    </row>
    <row r="205" spans="1:14">
      <c r="F205" s="584"/>
      <c r="G205" s="89"/>
      <c r="H205" s="89"/>
    </row>
    <row r="206" spans="1:14">
      <c r="G206" s="89"/>
      <c r="H206" s="89"/>
    </row>
    <row r="207" spans="1:14">
      <c r="G207" s="89"/>
      <c r="H207" s="89"/>
    </row>
    <row r="208" spans="1:14">
      <c r="G208" s="89"/>
      <c r="H208" s="89"/>
    </row>
    <row r="209" spans="7:8">
      <c r="G209" s="89"/>
      <c r="H209" s="89"/>
    </row>
    <row r="210" spans="7:8">
      <c r="G210" s="89"/>
      <c r="H210" s="89"/>
    </row>
    <row r="211" spans="7:8">
      <c r="G211" s="89"/>
      <c r="H211" s="89"/>
    </row>
    <row r="212" spans="7:8">
      <c r="G212" s="89"/>
      <c r="H212" s="89"/>
    </row>
    <row r="213" spans="7:8">
      <c r="G213" s="89"/>
      <c r="H213" s="89"/>
    </row>
    <row r="214" spans="7:8">
      <c r="G214" s="89"/>
      <c r="H214" s="89"/>
    </row>
    <row r="215" spans="7:8">
      <c r="G215" s="89"/>
      <c r="H215" s="89"/>
    </row>
    <row r="216" spans="7:8">
      <c r="G216" s="89"/>
      <c r="H216" s="89"/>
    </row>
    <row r="217" spans="7:8">
      <c r="G217" s="89"/>
      <c r="H217" s="89"/>
    </row>
    <row r="218" spans="7:8">
      <c r="G218" s="89"/>
      <c r="H218" s="89"/>
    </row>
    <row r="219" spans="7:8">
      <c r="G219" s="89"/>
      <c r="H219" s="89"/>
    </row>
    <row r="220" spans="7:8">
      <c r="G220" s="89"/>
      <c r="H220" s="89"/>
    </row>
    <row r="221" spans="7:8">
      <c r="G221" s="89"/>
      <c r="H221" s="89"/>
    </row>
  </sheetData>
  <mergeCells count="153">
    <mergeCell ref="K111:K113"/>
    <mergeCell ref="C195:E195"/>
    <mergeCell ref="A1:D2"/>
    <mergeCell ref="A3:D3"/>
    <mergeCell ref="A4:D4"/>
    <mergeCell ref="A5:D5"/>
    <mergeCell ref="A6:D6"/>
    <mergeCell ref="E1:E2"/>
    <mergeCell ref="C142:E142"/>
    <mergeCell ref="C147:E147"/>
    <mergeCell ref="C160:E160"/>
    <mergeCell ref="C175:E175"/>
    <mergeCell ref="C182:E182"/>
    <mergeCell ref="C67:E67"/>
    <mergeCell ref="C96:E96"/>
    <mergeCell ref="C105:E105"/>
    <mergeCell ref="C116:E116"/>
    <mergeCell ref="C130:E130"/>
    <mergeCell ref="B97:C99"/>
    <mergeCell ref="B100:C103"/>
    <mergeCell ref="D100:D101"/>
    <mergeCell ref="C56:E56"/>
    <mergeCell ref="D28:D30"/>
    <mergeCell ref="B33:C36"/>
    <mergeCell ref="D33:D34"/>
    <mergeCell ref="B37:C41"/>
    <mergeCell ref="D38:D40"/>
    <mergeCell ref="B42:C46"/>
    <mergeCell ref="D43:D45"/>
    <mergeCell ref="B47:C47"/>
    <mergeCell ref="B49:C51"/>
    <mergeCell ref="B53:C55"/>
    <mergeCell ref="K100:K101"/>
    <mergeCell ref="K106:K108"/>
    <mergeCell ref="B106:C110"/>
    <mergeCell ref="D106:D108"/>
    <mergeCell ref="K70:K74"/>
    <mergeCell ref="K77:K81"/>
    <mergeCell ref="K84:K88"/>
    <mergeCell ref="K91:K95"/>
    <mergeCell ref="D91:D95"/>
    <mergeCell ref="B57:C62"/>
    <mergeCell ref="D57:D59"/>
    <mergeCell ref="D60:D61"/>
    <mergeCell ref="K119:K120"/>
    <mergeCell ref="K123:K124"/>
    <mergeCell ref="C63:E63"/>
    <mergeCell ref="K10:K13"/>
    <mergeCell ref="K22:K24"/>
    <mergeCell ref="K28:K30"/>
    <mergeCell ref="K33:K34"/>
    <mergeCell ref="K38:K40"/>
    <mergeCell ref="K43:K45"/>
    <mergeCell ref="K57:K59"/>
    <mergeCell ref="K60:K61"/>
    <mergeCell ref="B10:C15"/>
    <mergeCell ref="D10:D13"/>
    <mergeCell ref="B16:C18"/>
    <mergeCell ref="B19:C21"/>
    <mergeCell ref="B22:C26"/>
    <mergeCell ref="D22:D24"/>
    <mergeCell ref="B28:C32"/>
    <mergeCell ref="C27:E27"/>
    <mergeCell ref="C48:E48"/>
    <mergeCell ref="C52:E52"/>
    <mergeCell ref="B64:C66"/>
    <mergeCell ref="B68:C74"/>
    <mergeCell ref="D70:D74"/>
    <mergeCell ref="K153:K154"/>
    <mergeCell ref="K161:K163"/>
    <mergeCell ref="K166:K167"/>
    <mergeCell ref="K170:K172"/>
    <mergeCell ref="K191:K192"/>
    <mergeCell ref="K125:K127"/>
    <mergeCell ref="K133:K135"/>
    <mergeCell ref="K138:K140"/>
    <mergeCell ref="K143:K144"/>
    <mergeCell ref="K148:K150"/>
    <mergeCell ref="B143:C146"/>
    <mergeCell ref="D143:D144"/>
    <mergeCell ref="B148:C152"/>
    <mergeCell ref="D148:D150"/>
    <mergeCell ref="B153:C156"/>
    <mergeCell ref="D153:D154"/>
    <mergeCell ref="B125:C129"/>
    <mergeCell ref="D125:D127"/>
    <mergeCell ref="B131:C135"/>
    <mergeCell ref="D133:D135"/>
    <mergeCell ref="B136:C140"/>
    <mergeCell ref="D138:D140"/>
    <mergeCell ref="B117:C120"/>
    <mergeCell ref="D119:D120"/>
    <mergeCell ref="B121:C124"/>
    <mergeCell ref="D123:D124"/>
    <mergeCell ref="B75:C81"/>
    <mergeCell ref="D77:D81"/>
    <mergeCell ref="B82:C88"/>
    <mergeCell ref="D84:D88"/>
    <mergeCell ref="B89:C95"/>
    <mergeCell ref="B111:C115"/>
    <mergeCell ref="D111:D113"/>
    <mergeCell ref="B186:C188"/>
    <mergeCell ref="B191:C194"/>
    <mergeCell ref="D191:D192"/>
    <mergeCell ref="B170:C174"/>
    <mergeCell ref="D170:D172"/>
    <mergeCell ref="B176:C178"/>
    <mergeCell ref="B179:C181"/>
    <mergeCell ref="B183:C185"/>
    <mergeCell ref="B157:C159"/>
    <mergeCell ref="B161:C165"/>
    <mergeCell ref="D161:D163"/>
    <mergeCell ref="B166:C169"/>
    <mergeCell ref="D166:D167"/>
    <mergeCell ref="B189:E189"/>
    <mergeCell ref="C190:E190"/>
    <mergeCell ref="L10:L15"/>
    <mergeCell ref="L16:L18"/>
    <mergeCell ref="L19:L21"/>
    <mergeCell ref="L22:L26"/>
    <mergeCell ref="L28:L32"/>
    <mergeCell ref="L33:L36"/>
    <mergeCell ref="L37:L41"/>
    <mergeCell ref="L42:L46"/>
    <mergeCell ref="L49:L51"/>
    <mergeCell ref="L53:L55"/>
    <mergeCell ref="L57:L62"/>
    <mergeCell ref="L64:L66"/>
    <mergeCell ref="L68:L74"/>
    <mergeCell ref="L75:L81"/>
    <mergeCell ref="L82:L88"/>
    <mergeCell ref="L89:L95"/>
    <mergeCell ref="L97:L99"/>
    <mergeCell ref="L100:L103"/>
    <mergeCell ref="L106:L110"/>
    <mergeCell ref="L111:L115"/>
    <mergeCell ref="L117:L120"/>
    <mergeCell ref="L121:L124"/>
    <mergeCell ref="L125:L129"/>
    <mergeCell ref="L131:L135"/>
    <mergeCell ref="L136:L140"/>
    <mergeCell ref="L143:L146"/>
    <mergeCell ref="L148:L152"/>
    <mergeCell ref="L191:L194"/>
    <mergeCell ref="L153:L156"/>
    <mergeCell ref="L157:L159"/>
    <mergeCell ref="L161:L165"/>
    <mergeCell ref="L166:L169"/>
    <mergeCell ref="L170:L174"/>
    <mergeCell ref="L176:L178"/>
    <mergeCell ref="L179:L181"/>
    <mergeCell ref="L183:L185"/>
    <mergeCell ref="L186:L188"/>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Cover</vt:lpstr>
      <vt:lpstr>Basis of Estimate</vt:lpstr>
      <vt:lpstr>Estimate Classification</vt:lpstr>
      <vt:lpstr>Summary</vt:lpstr>
      <vt:lpstr>Cost Matrix Tool</vt:lpstr>
      <vt:lpstr>Design Assumptions &lt;150' Height</vt:lpstr>
      <vt:lpstr>Supermarket</vt:lpstr>
      <vt:lpstr>PharmacyL</vt:lpstr>
      <vt:lpstr>PharmacyS</vt:lpstr>
      <vt:lpstr>HealthCare</vt:lpstr>
      <vt:lpstr>Restaurant</vt:lpstr>
      <vt:lpstr>GenRetL</vt:lpstr>
      <vt:lpstr>GenRetS</vt:lpstr>
      <vt:lpstr>Laundr</vt:lpstr>
      <vt:lpstr>Line items</vt:lpstr>
      <vt:lpstr>Electrical</vt:lpstr>
      <vt:lpstr>Plumbing</vt:lpstr>
      <vt:lpstr>Sheet2</vt:lpstr>
    </vt:vector>
  </TitlesOfParts>
  <Company>Arup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Finkin</dc:creator>
  <cp:lastModifiedBy>Rosamond</cp:lastModifiedBy>
  <cp:lastPrinted>2015-07-27T21:06:58Z</cp:lastPrinted>
  <dcterms:created xsi:type="dcterms:W3CDTF">2015-06-08T21:49:31Z</dcterms:created>
  <dcterms:modified xsi:type="dcterms:W3CDTF">2015-11-06T15:18:21Z</dcterms:modified>
</cp:coreProperties>
</file>